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60" tabRatio="500" activeTab="1"/>
  </bookViews>
  <sheets>
    <sheet name="ORCAMENTO" sheetId="1" r:id="rId1"/>
    <sheet name="M. CÁLCULO" sheetId="2" r:id="rId2"/>
    <sheet name="CRONOGRAMA" sheetId="3" r:id="rId3"/>
    <sheet name="BDI" sheetId="4" r:id="rId4"/>
    <sheet name="COMP_01" sheetId="5" r:id="rId5"/>
    <sheet name="COMP_02" sheetId="6" r:id="rId6"/>
    <sheet name="COMP_03" sheetId="7" r:id="rId7"/>
  </sheets>
  <definedNames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2">#REF!</definedName>
    <definedName name="AA" localSheetId="1">#REF!</definedName>
    <definedName name="AA">#REF!</definedName>
    <definedName name="AAA" localSheetId="5">#REF!</definedName>
    <definedName name="AAA" localSheetId="6">#REF!</definedName>
    <definedName name="AAA" localSheetId="1">#REF!</definedName>
    <definedName name="AAA">#REF!</definedName>
    <definedName name="_xlnm.Print_Area" localSheetId="3">'BDI'!$A$1:$D$55</definedName>
    <definedName name="_xlnm.Print_Area" localSheetId="4">'COMP_01'!$A$1:$K$62</definedName>
    <definedName name="_xlnm.Print_Area" localSheetId="5">'COMP_02'!$A$1:$K$62</definedName>
    <definedName name="_xlnm.Print_Area" localSheetId="6">'COMP_03'!$A$1:$K$61</definedName>
    <definedName name="_xlnm.Print_Area" localSheetId="2">'CRONOGRAMA'!$A$1:$L$30</definedName>
    <definedName name="_xlnm.Print_Area" localSheetId="1">'M. CÁLCULO'!$A$1:$D$44</definedName>
    <definedName name="_xlnm.Print_Area" localSheetId="0">'ORCAMENTO'!$A$1:$H$46</definedName>
    <definedName name="_xlnm.Print_Titles" localSheetId="2">'CRONOGRAMA'!$13:$13</definedName>
    <definedName name="_xlnm.Print_Titles" localSheetId="1">'M. CÁLCULO'!$12:$12</definedName>
    <definedName name="_xlnm.Print_Titles" localSheetId="0">'ORCAMENTO'!$1:$14</definedName>
  </definedNames>
  <calcPr fullCalcOnLoad="1"/>
</workbook>
</file>

<file path=xl/comments4.xml><?xml version="1.0" encoding="utf-8"?>
<comments xmlns="http://schemas.openxmlformats.org/spreadsheetml/2006/main">
  <authors>
    <author>Cremilson In?cio de Souza</author>
    <author>c094707</author>
  </authors>
  <commentList>
    <comment ref="B23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sz val="9"/>
            <rFont val="Tahoma"/>
            <family val="2"/>
          </rPr>
          <t>3.3.10.7.6.1</t>
        </r>
        <r>
          <rPr>
            <b/>
            <sz val="9"/>
            <rFont val="Tahoma"/>
            <family val="2"/>
          </rPr>
          <t xml:space="preserve"> “Construção de Edifícios” </t>
        </r>
        <r>
          <rPr>
            <sz val="9"/>
            <rFont val="Tahoma"/>
            <family val="2"/>
          </rPr>
          <t>enquadram-se: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 a </t>
        </r>
        <r>
          <rPr>
            <u val="single"/>
            <sz val="9"/>
            <rFont val="Tahoma"/>
            <family val="2"/>
          </rPr>
          <t>construção e reforma de edifícios</t>
        </r>
        <r>
          <rPr>
            <sz val="9"/>
            <rFont val="Tahoma"/>
            <family val="2"/>
          </rPr>
          <t>, unidades habitacionais, escolas, hospitais, hotéis, restaurantes, armazéns e depósitos, edifícios para uso agropecuário, estações para trens e metropolitanos,</t>
        </r>
        <r>
          <rPr>
            <u val="single"/>
            <sz val="9"/>
            <rFont val="Tahoma"/>
            <family val="2"/>
          </rPr>
          <t xml:space="preserve"> estádios esportivos e quadras cobertas,</t>
        </r>
        <r>
          <rPr>
            <sz val="9"/>
            <rFont val="Tahoma"/>
            <family val="2"/>
          </rPr>
          <t xml:space="preserve">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</t>
        </r>
        <r>
          <rPr>
            <u val="single"/>
            <sz val="9"/>
            <rFont val="Tahoma"/>
            <family val="2"/>
          </rPr>
          <t xml:space="preserve"> pórticos, mirantes </t>
        </r>
        <r>
          <rPr>
            <sz val="9"/>
            <rFont val="Tahoma"/>
            <family val="2"/>
          </rPr>
          <t xml:space="preserve">e outros edifícios de finalidade turística.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3.3.10.7.6.2</t>
        </r>
        <r>
          <rPr>
            <b/>
            <sz val="9"/>
            <rFont val="Tahoma"/>
            <family val="2"/>
          </rPr>
          <t xml:space="preserve"> “Construção de Rodovias e Ferrovias”</t>
        </r>
        <r>
          <rPr>
            <sz val="9"/>
            <rFont val="Tahoma"/>
            <family val="2"/>
          </rPr>
          <t xml:space="preserve"> enquadram-se: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</t>
        </r>
        <r>
          <rPr>
            <u val="single"/>
            <sz val="9"/>
            <rFont val="Tahoma"/>
            <family val="2"/>
          </rPr>
          <t>pavimentação e sinalização de vias urbanas</t>
        </r>
        <r>
          <rPr>
            <sz val="9"/>
            <rFont val="Tahoma"/>
            <family val="2"/>
          </rPr>
          <t xml:space="preserve">, ruas e locais para estacionamento de veículos, a construção de </t>
        </r>
        <r>
          <rPr>
            <u val="single"/>
            <sz val="9"/>
            <rFont val="Tahoma"/>
            <family val="2"/>
          </rPr>
          <t>praças</t>
        </r>
        <r>
          <rPr>
            <sz val="9"/>
            <rFont val="Tahoma"/>
            <family val="2"/>
          </rPr>
          <t xml:space="preserve">, pista de atletismo, </t>
        </r>
        <r>
          <rPr>
            <u val="single"/>
            <sz val="9"/>
            <rFont val="Tahoma"/>
            <family val="2"/>
          </rPr>
          <t xml:space="preserve">campos de futebol </t>
        </r>
        <r>
          <rPr>
            <sz val="9"/>
            <rFont val="Tahoma"/>
            <family val="2"/>
          </rPr>
          <t xml:space="preserve">e </t>
        </r>
        <r>
          <rPr>
            <u val="single"/>
            <sz val="9"/>
            <rFont val="Tahoma"/>
            <family val="2"/>
          </rPr>
          <t>calçadas</t>
        </r>
        <r>
          <rPr>
            <sz val="9"/>
            <rFont val="Tahoma"/>
            <family val="2"/>
          </rPr>
          <t xml:space="preserve"> para pedestres, elevados, passarelas e </t>
        </r>
        <r>
          <rPr>
            <i/>
            <sz val="9"/>
            <rFont val="Tahoma"/>
            <family val="2"/>
          </rPr>
          <t>ciclovias</t>
        </r>
        <r>
          <rPr>
            <sz val="9"/>
            <rFont val="Tahoma"/>
            <family val="2"/>
          </rPr>
          <t xml:space="preserve">, metrô e VLT.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3.3.10.7.6.3</t>
        </r>
        <r>
          <rPr>
            <b/>
            <sz val="9"/>
            <rFont val="Tahoma"/>
            <family val="2"/>
          </rPr>
          <t xml:space="preserve"> “Construção de Redes de Abastecimento de Água, Coleta de Esgoto e Construções Correlatas” </t>
        </r>
        <r>
          <rPr>
            <sz val="9"/>
            <rFont val="Tahoma"/>
            <family val="2"/>
          </rPr>
          <t>enquadram-se: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 a construção de sistemas para o abastecimento de água tratada - reservatórios de distribuição, estações elevatórias de bombeamento, linhas principais de adução de longa e média distância e redes de distribuição de água, a construção de </t>
        </r>
        <r>
          <rPr>
            <u val="single"/>
            <sz val="9"/>
            <rFont val="Tahoma"/>
            <family val="2"/>
          </rPr>
          <t>redes de coleta de esgoto</t>
        </r>
        <r>
          <rPr>
            <sz val="9"/>
            <rFont val="Tahoma"/>
            <family val="2"/>
          </rPr>
          <t xml:space="preserve">, inclusive de interceptores, </t>
        </r>
        <r>
          <rPr>
            <u val="single"/>
            <sz val="9"/>
            <rFont val="Tahoma"/>
            <family val="2"/>
          </rPr>
          <t>estações de tratamento de esgoto</t>
        </r>
        <r>
          <rPr>
            <sz val="9"/>
            <rFont val="Tahoma"/>
            <family val="2"/>
          </rPr>
          <t xml:space="preserve"> (ETE), estações de bombeamento de esgoto (EBE), a construção de galerias pluviais (obras de micro e macrodrenagem);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 as obras de irrigação (canais), a manutenção de </t>
        </r>
        <r>
          <rPr>
            <u val="single"/>
            <sz val="9"/>
            <rFont val="Tahoma"/>
            <family val="2"/>
          </rPr>
          <t>redes de abastecimento de água tratada</t>
        </r>
        <r>
          <rPr>
            <sz val="9"/>
            <rFont val="Tahoma"/>
            <family val="2"/>
          </rPr>
          <t xml:space="preserve">, a manutenção de redes de coleta e de sistemas de tratamento de esgoto, conforme classificação 4222-7 do CNAE 2.0;
 a construção de </t>
        </r>
        <r>
          <rPr>
            <u val="single"/>
            <sz val="9"/>
            <rFont val="Tahoma"/>
            <family val="2"/>
          </rPr>
          <t>estações de tratamento de água</t>
        </r>
        <r>
          <rPr>
            <sz val="9"/>
            <rFont val="Tahoma"/>
            <family val="2"/>
          </rPr>
          <t xml:space="preserve"> (ETA).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3.3.10.7.6.4</t>
        </r>
        <r>
          <rPr>
            <b/>
            <sz val="9"/>
            <rFont val="Tahoma"/>
            <family val="2"/>
          </rPr>
          <t xml:space="preserve"> “Construção e Manutenção de Estações e Redes de Distribuição de Energia Elétrica” </t>
        </r>
        <r>
          <rPr>
            <sz val="9"/>
            <rFont val="Tahoma"/>
            <family val="2"/>
          </rPr>
          <t>enquadram-se: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 obras de iluminação pública e a construção de barragens e represas para geração de energia elétrica.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3.3.10.7.6.5</t>
        </r>
        <r>
          <rPr>
            <b/>
            <sz val="9"/>
            <rFont val="Tahoma"/>
            <family val="2"/>
          </rPr>
          <t xml:space="preserve"> Para o tipo de obra “Portuárias, Marítimas e Fluviais”</t>
        </r>
        <r>
          <rPr>
            <sz val="9"/>
            <rFont val="Tahoma"/>
            <family val="2"/>
          </rPr>
          <t xml:space="preserve"> enquadram-se: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 obras marítimas e fluviais, tais como, construção de instalações portuárias, construção de portos e marinas, construção de eclusas e canais de navegação (vias navegáveis), enrrocamentos, obras de dragagem, aterro hidráulico, </t>
        </r>
        <r>
          <rPr>
            <u val="single"/>
            <sz val="9"/>
            <rFont val="Tahoma"/>
            <family val="2"/>
          </rPr>
          <t>barragens,</t>
        </r>
        <r>
          <rPr>
            <sz val="9"/>
            <rFont val="Tahoma"/>
            <family val="2"/>
          </rPr>
          <t xml:space="preserve"> represas e diques, exceto para energia elétrica, a construção de emissários submarinos, a instalação de cabos submarinos, conforme classificação 4291-0 do CNAE 2.0;
 a</t>
        </r>
        <r>
          <rPr>
            <u val="single"/>
            <sz val="9"/>
            <rFont val="Tahoma"/>
            <family val="2"/>
          </rPr>
          <t xml:space="preserve"> construção de píeres </t>
        </r>
        <r>
          <rPr>
            <sz val="9"/>
            <rFont val="Tahoma"/>
            <family val="2"/>
          </rPr>
          <t>e outras obras com influência direta de cursos d’água.</t>
        </r>
      </text>
    </comment>
    <comment ref="C30" authorId="1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31" authorId="1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33" authorId="1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35" authorId="1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39" authorId="1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41" authorId="1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42" authorId="1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<sst xmlns="http://schemas.openxmlformats.org/spreadsheetml/2006/main" count="458" uniqueCount="198">
  <si>
    <t>REFER.</t>
  </si>
  <si>
    <t>CÓDIGO</t>
  </si>
  <si>
    <t>ITEM</t>
  </si>
  <si>
    <t>ESPECIFICAÇÃO</t>
  </si>
  <si>
    <t>UNID.</t>
  </si>
  <si>
    <t>2.1</t>
  </si>
  <si>
    <t>TOTAL</t>
  </si>
  <si>
    <t>QUANT.</t>
  </si>
  <si>
    <t>UNITÁRIO</t>
  </si>
  <si>
    <t>BASE:</t>
  </si>
  <si>
    <t/>
  </si>
  <si>
    <t>DISCRIMINAÇÃO DE SERVIÇOS</t>
  </si>
  <si>
    <t>PLANILHA BÁSICA</t>
  </si>
  <si>
    <t>DETALHAMENTO DO BDI</t>
  </si>
  <si>
    <t>Não imprimir este quadro</t>
  </si>
  <si>
    <t>OBRA:</t>
  </si>
  <si>
    <t>AE 099 V012 - 3.3.10.7</t>
  </si>
  <si>
    <t>CONTRATO:</t>
  </si>
  <si>
    <t>É admissível, sem justificativa e sem necessidade de análise dos percentuais dos itens que compõem o BDI, índice global de BDI para serviços e obras que utilizem os seguintes parâmetros:</t>
  </si>
  <si>
    <t>1. Regime de Contribuição Previdenciária</t>
  </si>
  <si>
    <t>Com Desoneração</t>
  </si>
  <si>
    <t>Tipologia</t>
  </si>
  <si>
    <t xml:space="preserve">Limites de BDI </t>
  </si>
  <si>
    <t>Mín.</t>
  </si>
  <si>
    <t>Máx.</t>
  </si>
  <si>
    <t>2. Tipo de Intervenção</t>
  </si>
  <si>
    <t>Edificações</t>
  </si>
  <si>
    <t>Rodovias e Ferrovias</t>
  </si>
  <si>
    <t>Redes de Água, Esgoto ou Correlatas</t>
  </si>
  <si>
    <t>3. Incidências sobre o custo</t>
  </si>
  <si>
    <t>Estações e Redes de Distribuição de Energia Elétrica</t>
  </si>
  <si>
    <t>Portuárias, Marítimas e Fluviais</t>
  </si>
  <si>
    <r>
      <t>Administração Central -</t>
    </r>
    <r>
      <rPr>
        <b/>
        <sz val="9"/>
        <rFont val="Calibri"/>
        <family val="2"/>
      </rPr>
      <t xml:space="preserve"> AC</t>
    </r>
  </si>
  <si>
    <t>%</t>
  </si>
  <si>
    <t>Fornecimento de Materiais e Equipamentos</t>
  </si>
  <si>
    <r>
      <t>Riscos -</t>
    </r>
    <r>
      <rPr>
        <b/>
        <sz val="9"/>
        <rFont val="Calibri"/>
        <family val="2"/>
      </rPr>
      <t xml:space="preserve"> R</t>
    </r>
  </si>
  <si>
    <r>
      <t xml:space="preserve">Para o ISS, deverão ser definidos pelo Tomador, através de </t>
    </r>
    <r>
      <rPr>
        <u val="single"/>
        <sz val="9"/>
        <rFont val="Calibri"/>
        <family val="2"/>
      </rPr>
      <t>declaração informativa</t>
    </r>
    <r>
      <rPr>
        <sz val="9"/>
        <rFont val="Calibri"/>
        <family val="2"/>
      </rPr>
      <t>, conforme legislação tributária municipal, a base de cálculo e, sobre esta, a respectiva alíquota do ISS, que será um percentual entre 2% e 5%.</t>
    </r>
  </si>
  <si>
    <r>
      <t>Seguros e Garantias Contratuais -</t>
    </r>
    <r>
      <rPr>
        <b/>
        <sz val="9"/>
        <rFont val="Calibri"/>
        <family val="2"/>
      </rPr>
      <t xml:space="preserve"> S+G</t>
    </r>
  </si>
  <si>
    <r>
      <t xml:space="preserve">Despesas e Encargos Financeiros - </t>
    </r>
    <r>
      <rPr>
        <b/>
        <sz val="9"/>
        <rFont val="Calibri"/>
        <family val="2"/>
      </rPr>
      <t>DF</t>
    </r>
  </si>
  <si>
    <r>
      <t>Lucro -</t>
    </r>
    <r>
      <rPr>
        <b/>
        <sz val="9"/>
        <rFont val="Calibri"/>
        <family val="2"/>
      </rPr>
      <t xml:space="preserve"> L</t>
    </r>
  </si>
  <si>
    <t>A tabela acima foi construída a partir de estudo estatístico desenvolvido pelo TCU e não considera a desoneração sobre a folha de pagamento prevista na Lei n° 13.161/2015.</t>
  </si>
  <si>
    <t>4 – Incidências sobre o preço de venda</t>
  </si>
  <si>
    <t>Portanto para comparação com esta tabela, o BDI apresentado pelo Tomador deverá ser recalculado desconsiderando o percentual de 4,5% (CPRB), aplicando-se a fórmula apresentada.</t>
  </si>
  <si>
    <t>Despesas Tributárias - I</t>
  </si>
  <si>
    <t>ISS</t>
  </si>
  <si>
    <t>COFINS</t>
  </si>
  <si>
    <t>PIS</t>
  </si>
  <si>
    <t>VERIFICAÇÃO DESCONSIDERANDO O INSS (CPRB)</t>
  </si>
  <si>
    <t>INSS</t>
  </si>
  <si>
    <t>5 – Demonstrativo de cálculo do BDI</t>
  </si>
  <si>
    <t>A fórmula ao lado foi utilizada para cálculo do BDI das faixas acima relacionadas, devendo ser adotada como padrão. A utilização de outras fórmulas deverá ser justificada pelo Tomador.</t>
  </si>
  <si>
    <t>BDI  =</t>
  </si>
  <si>
    <r>
      <t xml:space="preserve">       </t>
    </r>
    <r>
      <rPr>
        <u val="single"/>
        <sz val="9"/>
        <rFont val="Calibri"/>
        <family val="2"/>
      </rPr>
      <t>(1+(AC+S+R+G))(1+DF)(1+L))</t>
    </r>
    <r>
      <rPr>
        <sz val="9"/>
        <rFont val="Calibri"/>
        <family val="2"/>
      </rPr>
      <t xml:space="preserve">  -1   =</t>
    </r>
  </si>
  <si>
    <t>( 1- I )</t>
  </si>
  <si>
    <t>MÊS:</t>
  </si>
  <si>
    <t>BDI(%):</t>
  </si>
  <si>
    <t>LS:</t>
  </si>
  <si>
    <t>SERVIÇO:</t>
  </si>
  <si>
    <t>UNIDADE:</t>
  </si>
  <si>
    <t>(A) EQUIPAMENTO</t>
  </si>
  <si>
    <t>UNID</t>
  </si>
  <si>
    <t>CÓDIGO PADRÃO</t>
  </si>
  <si>
    <t>COEF.</t>
  </si>
  <si>
    <t>C.PROD.</t>
  </si>
  <si>
    <t>PR. PROD</t>
  </si>
  <si>
    <t>PR. IMPR.</t>
  </si>
  <si>
    <t>PR. UNIT</t>
  </si>
  <si>
    <t>CUSTO</t>
  </si>
  <si>
    <t>(A) TOTAL:</t>
  </si>
  <si>
    <t>(B) MÃO-DE-OBRA</t>
  </si>
  <si>
    <t>H</t>
  </si>
  <si>
    <t>(B) TOTAL:</t>
  </si>
  <si>
    <t>(C) ITENS DE INCIDÊNCIA</t>
  </si>
  <si>
    <t>(C) TOTAL:</t>
  </si>
  <si>
    <t>CUSTO HORÁRIO DE EXECUÇÃO (A) + (B) + (C)</t>
  </si>
  <si>
    <t>(D) PRODUÇÃO DA EQUIPE</t>
  </si>
  <si>
    <t>(E) CUSTO UNITÁRIO DA EXECUÇÃO [(A) + (B) + (C)] / (D)</t>
  </si>
  <si>
    <t>(F) MATERIAIS</t>
  </si>
  <si>
    <t>(F) TOTAL:</t>
  </si>
  <si>
    <t>(G) SERVIÇOS</t>
  </si>
  <si>
    <t>(G) TOTAL:</t>
  </si>
  <si>
    <t>(H) ITENS DE TRANSPORTE</t>
  </si>
  <si>
    <t>FORMULA</t>
  </si>
  <si>
    <t>X1</t>
  </si>
  <si>
    <t>CONSUMO</t>
  </si>
  <si>
    <t>(H) TOTAL:</t>
  </si>
  <si>
    <t>CUSTO DIRETO TOTAL (E) + (F) + (G) + (H)</t>
  </si>
  <si>
    <t>PREÇO UNITÁRIO TOTAL</t>
  </si>
  <si>
    <t>LEIS SOC.:</t>
  </si>
  <si>
    <t>SET/2018</t>
  </si>
  <si>
    <t>SINAPI</t>
  </si>
  <si>
    <t>M2</t>
  </si>
  <si>
    <t>74209/001</t>
  </si>
  <si>
    <t>PLACA DE OBRA EM CHAPA DE ACO GALVANIZADO</t>
  </si>
  <si>
    <t>COMP.</t>
  </si>
  <si>
    <t>M3</t>
  </si>
  <si>
    <t>Mobilização e desmobilização de equipamentos com carreta prancha</t>
  </si>
  <si>
    <t>DER-ES</t>
  </si>
  <si>
    <t>JANEIRO/18</t>
  </si>
  <si>
    <t>Carreta com prancha 2040 45,0 t</t>
  </si>
  <si>
    <t>UT.PR.</t>
  </si>
  <si>
    <t>UT.IMPR.</t>
  </si>
  <si>
    <t>VL.PROD.</t>
  </si>
  <si>
    <t>VL. IMPROD.</t>
  </si>
  <si>
    <t>DIÁRIA</t>
  </si>
  <si>
    <t>DIA</t>
  </si>
  <si>
    <t>MOBILIZAÇÃO E DESMOBILIZAÇÃO DE EQUIPAMENTOS COM CARRETA PRANCHA</t>
  </si>
  <si>
    <r>
      <t xml:space="preserve">COTRATO DE REPASSE: </t>
    </r>
    <r>
      <rPr>
        <sz val="10"/>
        <rFont val="Courier New"/>
        <family val="0"/>
      </rPr>
      <t>858709/2017/MMA/CAIXA</t>
    </r>
    <r>
      <rPr>
        <b/>
        <sz val="11"/>
        <color indexed="8"/>
        <rFont val="Calibri"/>
        <family val="2"/>
      </rPr>
      <t xml:space="preserve"> CONVÊNIO:  </t>
    </r>
    <r>
      <rPr>
        <sz val="10"/>
        <rFont val="Courier New"/>
        <family val="0"/>
      </rPr>
      <t>858709/2017</t>
    </r>
    <r>
      <rPr>
        <b/>
        <sz val="11"/>
        <color indexed="8"/>
        <rFont val="Calibri"/>
        <family val="2"/>
      </rPr>
      <t xml:space="preserve"> PROPOSTA: </t>
    </r>
    <r>
      <rPr>
        <sz val="10"/>
        <rFont val="Courier New"/>
        <family val="0"/>
      </rPr>
      <t>093373/2017</t>
    </r>
  </si>
  <si>
    <t>REFERÊNCIA</t>
  </si>
  <si>
    <t>SINAPI/09-2018</t>
  </si>
  <si>
    <r>
      <t xml:space="preserve">OBJETO: </t>
    </r>
    <r>
      <rPr>
        <sz val="10"/>
        <rFont val="Courier New"/>
        <family val="0"/>
      </rPr>
      <t>CONSERVAÇÃO DE ÁGUA E SOLO</t>
    </r>
  </si>
  <si>
    <r>
      <t>DATA DE EMISSÃO:</t>
    </r>
    <r>
      <rPr>
        <sz val="10"/>
        <rFont val="Courier New"/>
        <family val="0"/>
      </rPr>
      <t>15/10/2018</t>
    </r>
  </si>
  <si>
    <r>
      <t xml:space="preserve">META: </t>
    </r>
    <r>
      <rPr>
        <sz val="10"/>
        <rFont val="Courier New"/>
        <family val="0"/>
      </rPr>
      <t>Contratação de empresa para execução de serviços de conservação de água e solo.</t>
    </r>
  </si>
  <si>
    <t>BDI</t>
  </si>
  <si>
    <t>COM Desoneração</t>
  </si>
  <si>
    <r>
      <t xml:space="preserve">COTRATO DE REPASSE: </t>
    </r>
    <r>
      <rPr>
        <sz val="10"/>
        <rFont val="Calibri"/>
        <family val="2"/>
      </rPr>
      <t>858709/2017/MMA/CAIXA</t>
    </r>
    <r>
      <rPr>
        <b/>
        <sz val="11"/>
        <color indexed="8"/>
        <rFont val="Calibri"/>
        <family val="2"/>
      </rPr>
      <t xml:space="preserve"> CONVÊNIO:  </t>
    </r>
    <r>
      <rPr>
        <sz val="10"/>
        <rFont val="Calibri"/>
        <family val="2"/>
      </rPr>
      <t>858709/2017</t>
    </r>
    <r>
      <rPr>
        <b/>
        <sz val="11"/>
        <color indexed="8"/>
        <rFont val="Calibri"/>
        <family val="2"/>
      </rPr>
      <t xml:space="preserve"> PROPOSTA: </t>
    </r>
    <r>
      <rPr>
        <sz val="10"/>
        <rFont val="Calibri"/>
        <family val="2"/>
      </rPr>
      <t>093373/2017</t>
    </r>
  </si>
  <si>
    <r>
      <t xml:space="preserve">OBJETO: </t>
    </r>
    <r>
      <rPr>
        <sz val="10"/>
        <rFont val="Calibri"/>
        <family val="2"/>
      </rPr>
      <t>CONSERVAÇÃO DE ÁGUA E SOLO</t>
    </r>
  </si>
  <si>
    <r>
      <t xml:space="preserve">META: </t>
    </r>
    <r>
      <rPr>
        <sz val="10"/>
        <rFont val="Calibri"/>
        <family val="2"/>
      </rPr>
      <t>Contratação de empresa para execução de serviços de conservação de água e solo.</t>
    </r>
  </si>
  <si>
    <t>COMUNICAÇÃO VISUAL</t>
  </si>
  <si>
    <t>CONSERVAÇÃO DE ÁGUA E SOLO E PRÁTICAS MECÂNICAS</t>
  </si>
  <si>
    <t>CAIXA SECA</t>
  </si>
  <si>
    <t>BARRAGINHA</t>
  </si>
  <si>
    <t>CONSERVAÇÃO DE ÁGUA E SOLO, RECOMPOSIÇÃO DE VEGETAÇÃO E CERCAMENTO</t>
  </si>
  <si>
    <t>3.1</t>
  </si>
  <si>
    <t>RECUPERAÇÃO COM PLANTIO</t>
  </si>
  <si>
    <t>SISTEMA AGROFLORESTAL - SAF</t>
  </si>
  <si>
    <t>3.2</t>
  </si>
  <si>
    <t>UNIDADE</t>
  </si>
  <si>
    <t>QUANTIDADE</t>
  </si>
  <si>
    <t>m2</t>
  </si>
  <si>
    <t>UND</t>
  </si>
  <si>
    <t>REGENERAÇÃO NATURAL</t>
  </si>
  <si>
    <t>M</t>
  </si>
  <si>
    <t>3.1.1</t>
  </si>
  <si>
    <t>3.2.2</t>
  </si>
  <si>
    <t>PLANTIO DE ÁRVORE ORNAMENTAL COM ALTURA DE MUDA MENOR OU IGUAL A 2,00 M. AF_05/2018 ( OITI/AROEIRA SALSA/ANGICO/IPE/JACARANDA OU EQUIVALENTE DA REGIAO)</t>
  </si>
  <si>
    <t>2</t>
  </si>
  <si>
    <t>MÊS 01</t>
  </si>
  <si>
    <t>MÊS 02</t>
  </si>
  <si>
    <t>MÊS 03</t>
  </si>
  <si>
    <t>MÊS 04</t>
  </si>
  <si>
    <t>MÊS 05</t>
  </si>
  <si>
    <t>MÊS 06</t>
  </si>
  <si>
    <t>m3</t>
  </si>
  <si>
    <t>BDI (30,30%)</t>
  </si>
  <si>
    <t>m</t>
  </si>
  <si>
    <t>und</t>
  </si>
  <si>
    <t>178 km - 2 hora 55 minutos (2,55*2*2)</t>
  </si>
  <si>
    <t>h</t>
  </si>
  <si>
    <t>1</t>
  </si>
  <si>
    <t>MENSAL</t>
  </si>
  <si>
    <t>ACUMULADO</t>
  </si>
  <si>
    <t>PLANILHA ORÇAMENTÁRIA - Município de Baixo Guandu</t>
  </si>
  <si>
    <t>MEMÓRIA DE CÁLCULO  - Município de Baixo Guandu</t>
  </si>
  <si>
    <t>CRONOGRAMA FÍSICO-FINANCEIRO  - Município de Baixo Guandu</t>
  </si>
  <si>
    <t>DETALHAMENTO DO BDI  - Município de Baixo Guandu</t>
  </si>
  <si>
    <t>1.1</t>
  </si>
  <si>
    <t>2.2</t>
  </si>
  <si>
    <t>2.2.1</t>
  </si>
  <si>
    <t>2.1.1</t>
  </si>
  <si>
    <t>2.1.2</t>
  </si>
  <si>
    <t>3.2.1</t>
  </si>
  <si>
    <t>3.3</t>
  </si>
  <si>
    <t>3.3.1</t>
  </si>
  <si>
    <t>3.3.2</t>
  </si>
  <si>
    <t>3,00 m X 1,88 m</t>
  </si>
  <si>
    <t>SETEMBRO/18</t>
  </si>
  <si>
    <t>SERVENTE COM ENCARGOS COMPLEMENTARES</t>
  </si>
  <si>
    <t>ESCAVADEIRA HIDRÁULICA SOBRE ESTEIRAS, CAÇAMBA 0,80 M3, PESO OPERACIONAL 17 T, POTENCIA BRUTA 111 HP - CHP DIURNO.</t>
  </si>
  <si>
    <t>CHP</t>
  </si>
  <si>
    <t>ESCAVADEIRA HIDRÁULICA SOBRE ESTEIRAS, CAÇAMBA 0,80 M3, PESO OPERACIONAL 7 T, POTENCIA BRUTA 111 HP - CHI DIURNO</t>
  </si>
  <si>
    <t>CHI</t>
  </si>
  <si>
    <t>CARPINTEIRO DE FORMAS COM ENCARGOS COMPLEMENTARES</t>
  </si>
  <si>
    <t>ARAME FARPADO GALVANIZADO 14 BWG, CLASSE 250</t>
  </si>
  <si>
    <t>GRAMPO DE ACO POLIDO 1 " X 9</t>
  </si>
  <si>
    <t>KG</t>
  </si>
  <si>
    <t>MADEIRA ROLICA TRATADA, EUCALIPTO OU EQUIVALENTE DA REGIAO, H = 2,20 M, D = 16 A 19CM (PARA CERCA)</t>
  </si>
  <si>
    <t>MADEIRA ROLICA TRATADA, EUCALIPTO OU EQUIVALENTE DA REGIAO, H = 2,2 M, D = 8 A 11CM (PARA CERCA)</t>
  </si>
  <si>
    <t>CERCA COM ESTACA DE MADEIRA ROLICA, DIAMETRO 11CM, ESPAÇAMENTO DE 3M, ALTURA LIVRE DE 1.50M, COM MOURÕES DE MADEIRA ROLICA (D = 16 A 19) A CADA 30M, COM 4 FIOS DE ARAME FARPADO Nº 14 CLASSE 250</t>
  </si>
  <si>
    <t>KARLA GALON</t>
  </si>
  <si>
    <t>CREA-ES nº 028782/D</t>
  </si>
  <si>
    <t xml:space="preserve"> Engenheira Agrônoma </t>
  </si>
  <si>
    <t>BAIXO GUANDU - COMPOSIÇÃO DO SERVIÇO (COMP_01)</t>
  </si>
  <si>
    <t>BAIXO GUANDU - COMPOSIÇÃO DO SERVIÇO (COMP_02)</t>
  </si>
  <si>
    <t>BAIXO GUANDU - COMPOSIÇÃO DO SERVIÇO (COMP_03)</t>
  </si>
  <si>
    <t>2.3</t>
  </si>
  <si>
    <t>TERRAÇO</t>
  </si>
  <si>
    <t>2.3.1</t>
  </si>
  <si>
    <t>ESCAVAÇÃO VERTICAL A CÉU ABERTO, INCLUINDO CARGA, DESCARGA, EM SOLO DE 1ª CATEGORIA COM ESCAVADEIRA HIDRÁULICA (CAÇAMBA: 0,8 M³/ 111 HP)</t>
  </si>
  <si>
    <r>
      <t>(0,60 m x 0,96 m) x 12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und</t>
    </r>
  </si>
  <si>
    <t>850+187+1257</t>
  </si>
  <si>
    <t>118,38+30,0+195,5+103,25+231,25</t>
  </si>
  <si>
    <t>773,67+466+210+1342,38+177,822+290+3145,0</t>
  </si>
  <si>
    <t>_01</t>
  </si>
  <si>
    <t>_02</t>
  </si>
  <si>
    <t>_03</t>
  </si>
  <si>
    <t>611+56+1333+241+381+329+885+118</t>
  </si>
  <si>
    <t>330+86+441+187+326+341+542+319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</si>
</sst>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_(* #,##0.00_);_(* \(#,##0.00\);_(* \-??_);_(@_)"/>
    <numFmt numFmtId="172" formatCode="#,##0.00_ ;\-#,##0.00\ "/>
    <numFmt numFmtId="173" formatCode="* #,##0.00\ ;* \(#,##0.00\);* \-#\ ;@\ "/>
    <numFmt numFmtId="174" formatCode="_(* #,##0.00_);_(* \(#,##0.00\);_(* &quot;-&quot;??_);_(@_)"/>
    <numFmt numFmtId="175" formatCode="[$-416]mmm\-yy;@"/>
    <numFmt numFmtId="176" formatCode="0.0%"/>
    <numFmt numFmtId="177" formatCode="#,##0.0000"/>
    <numFmt numFmtId="178" formatCode="0.000"/>
    <numFmt numFmtId="179" formatCode="0.00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-416]dddd\,\ d&quot; de &quot;mmmm&quot; de &quot;yyyy"/>
    <numFmt numFmtId="185" formatCode="0.0000000"/>
    <numFmt numFmtId="186" formatCode="0.000000"/>
    <numFmt numFmtId="187" formatCode="0.00000"/>
    <numFmt numFmtId="188" formatCode="#,##0.000"/>
  </numFmts>
  <fonts count="66">
    <font>
      <sz val="10"/>
      <name val="Courier New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Courier"/>
      <family val="3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8"/>
      <name val="Courier Ne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ill="0" applyBorder="0" applyAlignment="0" applyProtection="0"/>
  </cellStyleXfs>
  <cellXfs count="33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55" applyFont="1" applyFill="1" applyBorder="1" applyAlignment="1">
      <alignment horizontal="center" vertical="top" wrapText="1"/>
      <protection/>
    </xf>
    <xf numFmtId="0" fontId="4" fillId="33" borderId="11" xfId="55" applyFont="1" applyFill="1" applyBorder="1" applyAlignment="1">
      <alignment horizontal="justify" vertical="top" wrapText="1"/>
      <protection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70" fontId="0" fillId="0" borderId="0" xfId="74" applyFont="1" applyBorder="1" applyAlignment="1">
      <alignment vertical="top"/>
    </xf>
    <xf numFmtId="0" fontId="4" fillId="33" borderId="11" xfId="0" applyFont="1" applyFill="1" applyBorder="1" applyAlignment="1">
      <alignment horizontal="justify" vertical="top" wrapText="1"/>
    </xf>
    <xf numFmtId="172" fontId="4" fillId="33" borderId="11" xfId="0" applyNumberFormat="1" applyFont="1" applyFill="1" applyBorder="1" applyAlignment="1">
      <alignment horizontal="right" vertical="top" wrapText="1"/>
    </xf>
    <xf numFmtId="172" fontId="4" fillId="33" borderId="12" xfId="0" applyNumberFormat="1" applyFont="1" applyFill="1" applyBorder="1" applyAlignment="1">
      <alignment horizontal="right" vertical="top" wrapText="1"/>
    </xf>
    <xf numFmtId="43" fontId="3" fillId="34" borderId="0" xfId="74" applyNumberFormat="1" applyFont="1" applyFill="1" applyBorder="1" applyAlignment="1">
      <alignment horizontal="justify" vertical="top"/>
    </xf>
    <xf numFmtId="0" fontId="3" fillId="34" borderId="0" xfId="0" applyFont="1" applyFill="1" applyAlignment="1">
      <alignment vertical="top"/>
    </xf>
    <xf numFmtId="0" fontId="3" fillId="35" borderId="0" xfId="0" applyFont="1" applyFill="1" applyAlignment="1">
      <alignment vertical="top"/>
    </xf>
    <xf numFmtId="43" fontId="3" fillId="36" borderId="0" xfId="74" applyNumberFormat="1" applyFont="1" applyFill="1" applyBorder="1" applyAlignment="1">
      <alignment horizontal="justify" vertical="top"/>
    </xf>
    <xf numFmtId="0" fontId="3" fillId="36" borderId="0" xfId="0" applyFont="1" applyFill="1" applyAlignment="1">
      <alignment vertical="top"/>
    </xf>
    <xf numFmtId="170" fontId="0" fillId="35" borderId="0" xfId="74" applyFont="1" applyFill="1" applyBorder="1" applyAlignment="1">
      <alignment vertical="top" wrapText="1"/>
    </xf>
    <xf numFmtId="170" fontId="0" fillId="35" borderId="0" xfId="74" applyFont="1" applyFill="1" applyBorder="1" applyAlignment="1">
      <alignment vertical="top"/>
    </xf>
    <xf numFmtId="0" fontId="4" fillId="37" borderId="13" xfId="55" applyFont="1" applyFill="1" applyBorder="1" applyAlignment="1">
      <alignment horizontal="center" vertical="top"/>
      <protection/>
    </xf>
    <xf numFmtId="0" fontId="4" fillId="37" borderId="13" xfId="0" applyFont="1" applyFill="1" applyBorder="1" applyAlignment="1">
      <alignment horizontal="center" vertical="top"/>
    </xf>
    <xf numFmtId="0" fontId="4" fillId="37" borderId="13" xfId="55" applyNumberFormat="1" applyFont="1" applyFill="1" applyBorder="1" applyAlignment="1">
      <alignment horizontal="justify" vertical="top" wrapText="1"/>
      <protection/>
    </xf>
    <xf numFmtId="4" fontId="4" fillId="37" borderId="13" xfId="55" applyNumberFormat="1" applyFont="1" applyFill="1" applyBorder="1" applyAlignment="1">
      <alignment horizontal="center" vertical="top"/>
      <protection/>
    </xf>
    <xf numFmtId="173" fontId="3" fillId="34" borderId="13" xfId="74" applyNumberFormat="1" applyFont="1" applyFill="1" applyBorder="1" applyAlignment="1" applyProtection="1">
      <alignment horizontal="right" vertical="top"/>
      <protection/>
    </xf>
    <xf numFmtId="0" fontId="31" fillId="0" borderId="0" xfId="53" applyFont="1">
      <alignment/>
      <protection/>
    </xf>
    <xf numFmtId="49" fontId="4" fillId="37" borderId="13" xfId="53" applyNumberFormat="1" applyFont="1" applyFill="1" applyBorder="1" applyAlignment="1">
      <alignment horizontal="center" vertical="center" wrapText="1"/>
      <protection/>
    </xf>
    <xf numFmtId="175" fontId="4" fillId="37" borderId="13" xfId="65" applyNumberFormat="1" applyFont="1" applyFill="1" applyBorder="1" applyAlignment="1">
      <alignment horizontal="center" vertical="center" wrapText="1"/>
    </xf>
    <xf numFmtId="174" fontId="4" fillId="37" borderId="13" xfId="65" applyNumberFormat="1" applyFont="1" applyFill="1" applyBorder="1" applyAlignment="1">
      <alignment horizontal="center" vertical="center" wrapText="1"/>
    </xf>
    <xf numFmtId="10" fontId="32" fillId="38" borderId="13" xfId="53" applyNumberFormat="1" applyFont="1" applyFill="1" applyBorder="1" applyAlignment="1">
      <alignment vertical="center"/>
      <protection/>
    </xf>
    <xf numFmtId="0" fontId="31" fillId="0" borderId="0" xfId="53" applyFont="1" applyAlignment="1">
      <alignment vertical="center"/>
      <protection/>
    </xf>
    <xf numFmtId="43" fontId="31" fillId="0" borderId="13" xfId="53" applyNumberFormat="1" applyFont="1" applyBorder="1" applyAlignment="1">
      <alignment vertical="center"/>
      <protection/>
    </xf>
    <xf numFmtId="0" fontId="31" fillId="0" borderId="13" xfId="53" applyFont="1" applyBorder="1" applyAlignment="1">
      <alignment vertical="center"/>
      <protection/>
    </xf>
    <xf numFmtId="10" fontId="31" fillId="0" borderId="13" xfId="53" applyNumberFormat="1" applyFont="1" applyBorder="1" applyAlignment="1">
      <alignment vertical="center"/>
      <protection/>
    </xf>
    <xf numFmtId="0" fontId="31" fillId="0" borderId="14" xfId="53" applyFont="1" applyBorder="1" applyAlignment="1">
      <alignment vertical="center"/>
      <protection/>
    </xf>
    <xf numFmtId="0" fontId="31" fillId="0" borderId="15" xfId="53" applyFont="1" applyBorder="1" applyAlignment="1">
      <alignment vertical="center"/>
      <protection/>
    </xf>
    <xf numFmtId="0" fontId="31" fillId="0" borderId="15" xfId="53" applyFont="1" applyBorder="1" applyAlignment="1">
      <alignment horizontal="right" vertical="center"/>
      <protection/>
    </xf>
    <xf numFmtId="0" fontId="31" fillId="0" borderId="16" xfId="53" applyFont="1" applyBorder="1" applyAlignment="1">
      <alignment horizontal="center" vertical="center"/>
      <protection/>
    </xf>
    <xf numFmtId="10" fontId="32" fillId="0" borderId="13" xfId="53" applyNumberFormat="1" applyFont="1" applyBorder="1" applyAlignment="1">
      <alignment horizontal="center" vertical="center"/>
      <protection/>
    </xf>
    <xf numFmtId="43" fontId="32" fillId="0" borderId="13" xfId="53" applyNumberFormat="1" applyFont="1" applyBorder="1" applyAlignment="1">
      <alignment horizontal="center" vertical="center"/>
      <protection/>
    </xf>
    <xf numFmtId="0" fontId="31" fillId="0" borderId="17" xfId="53" applyFont="1" applyBorder="1" applyAlignment="1">
      <alignment vertical="center"/>
      <protection/>
    </xf>
    <xf numFmtId="0" fontId="31" fillId="0" borderId="0" xfId="53" applyFont="1" applyBorder="1" applyAlignment="1">
      <alignment vertical="center"/>
      <protection/>
    </xf>
    <xf numFmtId="0" fontId="31" fillId="0" borderId="18" xfId="53" applyFont="1" applyBorder="1" applyAlignment="1">
      <alignment horizontal="center" vertical="center"/>
      <protection/>
    </xf>
    <xf numFmtId="172" fontId="32" fillId="0" borderId="13" xfId="53" applyNumberFormat="1" applyFont="1" applyBorder="1" applyAlignment="1">
      <alignment horizontal="center" vertical="center"/>
      <protection/>
    </xf>
    <xf numFmtId="43" fontId="31" fillId="0" borderId="0" xfId="53" applyNumberFormat="1" applyFont="1" applyBorder="1" applyAlignment="1">
      <alignment horizontal="right" vertical="center"/>
      <protection/>
    </xf>
    <xf numFmtId="0" fontId="32" fillId="0" borderId="13" xfId="53" applyFont="1" applyBorder="1" applyAlignment="1">
      <alignment horizontal="center" vertical="center"/>
      <protection/>
    </xf>
    <xf numFmtId="0" fontId="31" fillId="0" borderId="19" xfId="53" applyFont="1" applyBorder="1" applyAlignment="1">
      <alignment vertical="center"/>
      <protection/>
    </xf>
    <xf numFmtId="0" fontId="31" fillId="0" borderId="20" xfId="53" applyFont="1" applyBorder="1" applyAlignment="1">
      <alignment vertical="center"/>
      <protection/>
    </xf>
    <xf numFmtId="0" fontId="31" fillId="0" borderId="0" xfId="53" applyFont="1" applyAlignment="1">
      <alignment horizontal="right" vertical="center"/>
      <protection/>
    </xf>
    <xf numFmtId="0" fontId="31" fillId="0" borderId="0" xfId="53" applyFont="1" applyAlignment="1">
      <alignment horizontal="center"/>
      <protection/>
    </xf>
    <xf numFmtId="0" fontId="15" fillId="0" borderId="15" xfId="51" applyNumberFormat="1" applyFont="1" applyBorder="1">
      <alignment/>
      <protection/>
    </xf>
    <xf numFmtId="0" fontId="15" fillId="0" borderId="16" xfId="51" applyNumberFormat="1" applyFont="1" applyBorder="1">
      <alignment/>
      <protection/>
    </xf>
    <xf numFmtId="0" fontId="3" fillId="0" borderId="0" xfId="50" applyFont="1" applyProtection="1">
      <alignment/>
      <protection/>
    </xf>
    <xf numFmtId="0" fontId="4" fillId="0" borderId="0" xfId="51" applyNumberFormat="1" applyFont="1" applyBorder="1" applyAlignment="1">
      <alignment horizontal="center"/>
      <protection/>
    </xf>
    <xf numFmtId="0" fontId="32" fillId="0" borderId="0" xfId="51" applyNumberFormat="1" applyFont="1" applyBorder="1" applyAlignment="1">
      <alignment horizontal="center"/>
      <protection/>
    </xf>
    <xf numFmtId="0" fontId="3" fillId="0" borderId="18" xfId="50" applyFont="1" applyBorder="1" applyProtection="1">
      <alignment/>
      <protection/>
    </xf>
    <xf numFmtId="0" fontId="3" fillId="0" borderId="0" xfId="51" applyNumberFormat="1" applyFont="1">
      <alignment/>
      <protection/>
    </xf>
    <xf numFmtId="0" fontId="4" fillId="0" borderId="0" xfId="51" applyNumberFormat="1" applyFont="1" applyBorder="1" applyAlignment="1">
      <alignment/>
      <protection/>
    </xf>
    <xf numFmtId="0" fontId="31" fillId="0" borderId="0" xfId="51" applyNumberFormat="1" applyFont="1" applyBorder="1">
      <alignment/>
      <protection/>
    </xf>
    <xf numFmtId="0" fontId="31" fillId="0" borderId="18" xfId="51" applyNumberFormat="1" applyFont="1" applyBorder="1">
      <alignment/>
      <protection/>
    </xf>
    <xf numFmtId="0" fontId="31" fillId="0" borderId="0" xfId="51" applyNumberFormat="1" applyFont="1">
      <alignment/>
      <protection/>
    </xf>
    <xf numFmtId="0" fontId="3" fillId="0" borderId="0" xfId="51" applyNumberFormat="1" applyFont="1" applyBorder="1" applyAlignment="1">
      <alignment horizontal="right" vertical="top"/>
      <protection/>
    </xf>
    <xf numFmtId="0" fontId="4" fillId="0" borderId="0" xfId="50" applyFont="1" applyBorder="1" applyAlignment="1">
      <alignment horizontal="left"/>
      <protection/>
    </xf>
    <xf numFmtId="0" fontId="3" fillId="0" borderId="0" xfId="51" applyNumberFormat="1" applyFont="1" applyBorder="1" applyAlignment="1">
      <alignment horizontal="right" vertical="center"/>
      <protection/>
    </xf>
    <xf numFmtId="0" fontId="32" fillId="0" borderId="18" xfId="51" applyNumberFormat="1" applyFont="1" applyBorder="1">
      <alignment/>
      <protection/>
    </xf>
    <xf numFmtId="0" fontId="32" fillId="0" borderId="0" xfId="51" applyNumberFormat="1" applyFont="1">
      <alignment/>
      <protection/>
    </xf>
    <xf numFmtId="0" fontId="3" fillId="0" borderId="0" xfId="51" applyNumberFormat="1" applyFont="1" applyFill="1" applyBorder="1" applyAlignment="1">
      <alignment horizontal="right" vertical="center"/>
      <protection/>
    </xf>
    <xf numFmtId="10" fontId="4" fillId="0" borderId="0" xfId="51" applyNumberFormat="1" applyFont="1" applyFill="1" applyBorder="1" applyAlignment="1">
      <alignment horizontal="left" vertical="center"/>
      <protection/>
    </xf>
    <xf numFmtId="0" fontId="4" fillId="0" borderId="0" xfId="51" applyNumberFormat="1" applyFont="1" applyAlignment="1">
      <alignment horizontal="center" wrapText="1"/>
      <protection/>
    </xf>
    <xf numFmtId="0" fontId="4" fillId="0" borderId="0" xfId="51" applyNumberFormat="1" applyFont="1" applyAlignment="1">
      <alignment wrapText="1"/>
      <protection/>
    </xf>
    <xf numFmtId="0" fontId="3" fillId="0" borderId="0" xfId="50" applyFont="1" applyAlignment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0" fontId="4" fillId="0" borderId="0" xfId="50" applyFont="1" applyFill="1" applyAlignment="1" applyProtection="1">
      <alignment/>
      <protection/>
    </xf>
    <xf numFmtId="0" fontId="4" fillId="39" borderId="13" xfId="50" applyFont="1" applyFill="1" applyBorder="1" applyAlignment="1">
      <alignment horizontal="center" vertical="center" wrapText="1"/>
      <protection/>
    </xf>
    <xf numFmtId="0" fontId="32" fillId="0" borderId="18" xfId="51" applyNumberFormat="1" applyFont="1" applyFill="1" applyBorder="1">
      <alignment/>
      <protection/>
    </xf>
    <xf numFmtId="0" fontId="32" fillId="0" borderId="0" xfId="51" applyNumberFormat="1" applyFont="1" applyFill="1">
      <alignment/>
      <protection/>
    </xf>
    <xf numFmtId="0" fontId="3" fillId="0" borderId="13" xfId="50" applyFont="1" applyBorder="1" applyAlignment="1">
      <alignment wrapText="1"/>
      <protection/>
    </xf>
    <xf numFmtId="43" fontId="3" fillId="0" borderId="13" xfId="64" applyFont="1" applyBorder="1" applyAlignment="1">
      <alignment/>
    </xf>
    <xf numFmtId="0" fontId="3" fillId="0" borderId="0" xfId="50" applyFont="1" applyAlignment="1" applyProtection="1">
      <alignment horizontal="center"/>
      <protection/>
    </xf>
    <xf numFmtId="0" fontId="3" fillId="0" borderId="0" xfId="50" applyFont="1" applyFill="1" applyAlignment="1" applyProtection="1">
      <alignment horizontal="center"/>
      <protection/>
    </xf>
    <xf numFmtId="43" fontId="3" fillId="0" borderId="0" xfId="64" applyFont="1" applyAlignment="1" applyProtection="1">
      <alignment/>
      <protection/>
    </xf>
    <xf numFmtId="0" fontId="4" fillId="0" borderId="0" xfId="50" applyFont="1" applyFill="1" applyAlignment="1" applyProtection="1">
      <alignment horizontal="center"/>
      <protection/>
    </xf>
    <xf numFmtId="0" fontId="3" fillId="0" borderId="0" xfId="50" applyFont="1" applyAlignment="1" applyProtection="1">
      <alignment horizontal="right"/>
      <protection/>
    </xf>
    <xf numFmtId="0" fontId="3" fillId="0" borderId="11" xfId="50" applyFont="1" applyBorder="1" applyAlignment="1" applyProtection="1">
      <alignment horizontal="justify" vertical="top" wrapText="1"/>
      <protection/>
    </xf>
    <xf numFmtId="2" fontId="3" fillId="38" borderId="11" xfId="5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50" applyFont="1" applyFill="1" applyBorder="1" applyAlignment="1" applyProtection="1">
      <alignment horizontal="center" vertical="top" wrapText="1"/>
      <protection/>
    </xf>
    <xf numFmtId="0" fontId="3" fillId="0" borderId="0" xfId="50" applyFont="1" applyBorder="1" applyProtection="1">
      <alignment/>
      <protection/>
    </xf>
    <xf numFmtId="2" fontId="3" fillId="0" borderId="11" xfId="50" applyNumberFormat="1" applyFont="1" applyFill="1" applyBorder="1" applyAlignment="1" applyProtection="1">
      <alignment horizontal="center" vertical="top" wrapText="1"/>
      <protection/>
    </xf>
    <xf numFmtId="0" fontId="3" fillId="0" borderId="0" xfId="50" applyFont="1" applyBorder="1" applyAlignment="1" applyProtection="1">
      <alignment vertical="top" wrapText="1"/>
      <protection/>
    </xf>
    <xf numFmtId="0" fontId="3" fillId="0" borderId="0" xfId="50" applyFont="1" applyBorder="1" applyAlignment="1" applyProtection="1">
      <alignment horizontal="center"/>
      <protection/>
    </xf>
    <xf numFmtId="0" fontId="3" fillId="0" borderId="0" xfId="50" applyFont="1" applyFill="1" applyBorder="1" applyAlignment="1" applyProtection="1">
      <alignment horizontal="center"/>
      <protection/>
    </xf>
    <xf numFmtId="0" fontId="4" fillId="0" borderId="0" xfId="50" applyFont="1" applyBorder="1" applyAlignment="1" applyProtection="1">
      <alignment horizontal="center"/>
      <protection/>
    </xf>
    <xf numFmtId="0" fontId="4" fillId="0" borderId="0" xfId="50" applyFont="1" applyFill="1" applyBorder="1" applyAlignment="1" applyProtection="1">
      <alignment horizontal="center"/>
      <protection/>
    </xf>
    <xf numFmtId="0" fontId="4" fillId="0" borderId="11" xfId="50" applyFont="1" applyBorder="1" applyAlignment="1" applyProtection="1">
      <alignment horizontal="justify"/>
      <protection/>
    </xf>
    <xf numFmtId="2" fontId="4" fillId="0" borderId="11" xfId="50" applyNumberFormat="1" applyFont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 vertical="top" wrapText="1"/>
      <protection/>
    </xf>
    <xf numFmtId="0" fontId="3" fillId="0" borderId="11" xfId="50" applyFont="1" applyBorder="1" applyAlignment="1" applyProtection="1">
      <alignment horizontal="left" vertical="top" wrapText="1" indent="5"/>
      <protection/>
    </xf>
    <xf numFmtId="176" fontId="3" fillId="0" borderId="0" xfId="59" applyNumberFormat="1" applyFont="1" applyAlignment="1" applyProtection="1">
      <alignment horizontal="center"/>
      <protection/>
    </xf>
    <xf numFmtId="0" fontId="3" fillId="0" borderId="0" xfId="50" applyFont="1" applyFill="1" applyProtection="1">
      <alignment/>
      <protection/>
    </xf>
    <xf numFmtId="0" fontId="3" fillId="0" borderId="20" xfId="50" applyFont="1" applyBorder="1" applyProtection="1">
      <alignment/>
      <protection/>
    </xf>
    <xf numFmtId="0" fontId="3" fillId="0" borderId="21" xfId="50" applyFont="1" applyBorder="1" applyProtection="1">
      <alignment/>
      <protection/>
    </xf>
    <xf numFmtId="0" fontId="4" fillId="0" borderId="0" xfId="51" applyFont="1" applyFill="1" applyBorder="1" applyAlignment="1">
      <alignment vertical="center"/>
      <protection/>
    </xf>
    <xf numFmtId="0" fontId="3" fillId="0" borderId="0" xfId="49" applyFont="1">
      <alignment/>
      <protection/>
    </xf>
    <xf numFmtId="0" fontId="4" fillId="0" borderId="13" xfId="49" applyFont="1" applyBorder="1" applyAlignment="1">
      <alignment vertical="center"/>
      <protection/>
    </xf>
    <xf numFmtId="0" fontId="3" fillId="0" borderId="13" xfId="49" applyFont="1" applyBorder="1" applyAlignment="1">
      <alignment horizontal="left" vertical="center"/>
      <protection/>
    </xf>
    <xf numFmtId="10" fontId="58" fillId="0" borderId="13" xfId="60" applyNumberFormat="1" applyFont="1" applyBorder="1" applyAlignment="1">
      <alignment horizontal="center" vertical="center"/>
    </xf>
    <xf numFmtId="0" fontId="3" fillId="0" borderId="0" xfId="49" applyFont="1" applyAlignment="1">
      <alignment vertical="center"/>
      <protection/>
    </xf>
    <xf numFmtId="0" fontId="4" fillId="40" borderId="13" xfId="49" applyFont="1" applyFill="1" applyBorder="1" applyAlignment="1">
      <alignment horizontal="center" vertical="top" wrapText="1"/>
      <protection/>
    </xf>
    <xf numFmtId="0" fontId="3" fillId="0" borderId="0" xfId="49" applyFont="1" applyAlignment="1">
      <alignment wrapText="1"/>
      <protection/>
    </xf>
    <xf numFmtId="0" fontId="4" fillId="0" borderId="13" xfId="49" applyFont="1" applyFill="1" applyBorder="1" applyAlignment="1">
      <alignment horizontal="center" vertical="top" wrapText="1"/>
      <protection/>
    </xf>
    <xf numFmtId="0" fontId="3" fillId="0" borderId="17" xfId="49" applyFont="1" applyBorder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 applyBorder="1" applyAlignment="1">
      <alignment horizontal="center"/>
      <protection/>
    </xf>
    <xf numFmtId="0" fontId="3" fillId="0" borderId="13" xfId="49" applyFont="1" applyFill="1" applyBorder="1" applyAlignment="1">
      <alignment horizontal="center" wrapText="1"/>
      <protection/>
    </xf>
    <xf numFmtId="0" fontId="3" fillId="0" borderId="13" xfId="49" applyFont="1" applyFill="1" applyBorder="1" applyAlignment="1">
      <alignment horizontal="center" vertical="top" wrapText="1"/>
      <protection/>
    </xf>
    <xf numFmtId="4" fontId="3" fillId="0" borderId="13" xfId="49" applyNumberFormat="1" applyFont="1" applyFill="1" applyBorder="1" applyAlignment="1">
      <alignment horizontal="right" vertical="top" wrapText="1"/>
      <protection/>
    </xf>
    <xf numFmtId="178" fontId="3" fillId="0" borderId="13" xfId="49" applyNumberFormat="1" applyFont="1" applyFill="1" applyBorder="1" applyAlignment="1">
      <alignment horizontal="center" vertical="top" wrapText="1"/>
      <protection/>
    </xf>
    <xf numFmtId="179" fontId="3" fillId="0" borderId="13" xfId="49" applyNumberFormat="1" applyFont="1" applyFill="1" applyBorder="1" applyAlignment="1">
      <alignment horizontal="center" vertical="top" wrapText="1"/>
      <protection/>
    </xf>
    <xf numFmtId="0" fontId="3" fillId="0" borderId="0" xfId="49" applyFont="1" applyAlignment="1">
      <alignment horizontal="center"/>
      <protection/>
    </xf>
    <xf numFmtId="4" fontId="4" fillId="0" borderId="13" xfId="49" applyNumberFormat="1" applyFont="1" applyFill="1" applyBorder="1" applyAlignment="1">
      <alignment horizontal="center" vertical="top" wrapText="1"/>
      <protection/>
    </xf>
    <xf numFmtId="4" fontId="3" fillId="0" borderId="13" xfId="49" applyNumberFormat="1" applyFont="1" applyFill="1" applyBorder="1" applyAlignment="1">
      <alignment horizontal="center" vertical="top" wrapText="1"/>
      <protection/>
    </xf>
    <xf numFmtId="4" fontId="3" fillId="35" borderId="0" xfId="0" applyNumberFormat="1" applyFont="1" applyFill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3" fillId="0" borderId="11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177" fontId="3" fillId="0" borderId="13" xfId="49" applyNumberFormat="1" applyFont="1" applyFill="1" applyBorder="1" applyAlignment="1">
      <alignment horizontal="center" vertical="top" wrapText="1"/>
      <protection/>
    </xf>
    <xf numFmtId="177" fontId="4" fillId="0" borderId="13" xfId="49" applyNumberFormat="1" applyFont="1" applyFill="1" applyBorder="1" applyAlignment="1">
      <alignment horizontal="center" vertical="top" wrapText="1"/>
      <protection/>
    </xf>
    <xf numFmtId="0" fontId="3" fillId="0" borderId="13" xfId="49" applyFont="1" applyBorder="1" applyAlignment="1">
      <alignment horizontal="center"/>
      <protection/>
    </xf>
    <xf numFmtId="0" fontId="4" fillId="40" borderId="13" xfId="49" applyFont="1" applyFill="1" applyBorder="1" applyAlignment="1">
      <alignment horizontal="right" vertical="top" wrapText="1"/>
      <protection/>
    </xf>
    <xf numFmtId="0" fontId="3" fillId="0" borderId="18" xfId="49" applyFont="1" applyBorder="1" applyAlignment="1">
      <alignment horizontal="right"/>
      <protection/>
    </xf>
    <xf numFmtId="4" fontId="4" fillId="0" borderId="13" xfId="49" applyNumberFormat="1" applyFont="1" applyFill="1" applyBorder="1" applyAlignment="1">
      <alignment horizontal="right" vertical="top" wrapText="1"/>
      <protection/>
    </xf>
    <xf numFmtId="0" fontId="3" fillId="0" borderId="0" xfId="49" applyFont="1" applyAlignment="1">
      <alignment horizontal="right"/>
      <protection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7" fillId="0" borderId="22" xfId="0" applyFont="1" applyBorder="1" applyAlignment="1">
      <alignment horizontal="left"/>
    </xf>
    <xf numFmtId="0" fontId="57" fillId="0" borderId="23" xfId="0" applyFont="1" applyBorder="1" applyAlignment="1">
      <alignment horizontal="left"/>
    </xf>
    <xf numFmtId="10" fontId="59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4" fillId="41" borderId="10" xfId="0" applyFont="1" applyFill="1" applyBorder="1" applyAlignment="1">
      <alignment horizontal="center" vertical="top" wrapText="1"/>
    </xf>
    <xf numFmtId="0" fontId="4" fillId="41" borderId="11" xfId="55" applyFont="1" applyFill="1" applyBorder="1" applyAlignment="1">
      <alignment horizontal="center" vertical="top" wrapText="1"/>
      <protection/>
    </xf>
    <xf numFmtId="0" fontId="4" fillId="41" borderId="11" xfId="55" applyFont="1" applyFill="1" applyBorder="1" applyAlignment="1">
      <alignment horizontal="justify" vertical="top" wrapText="1"/>
      <protection/>
    </xf>
    <xf numFmtId="0" fontId="4" fillId="41" borderId="11" xfId="0" applyFont="1" applyFill="1" applyBorder="1" applyAlignment="1">
      <alignment horizontal="justify" vertical="top" wrapText="1"/>
    </xf>
    <xf numFmtId="172" fontId="4" fillId="41" borderId="11" xfId="0" applyNumberFormat="1" applyFont="1" applyFill="1" applyBorder="1" applyAlignment="1">
      <alignment horizontal="right" vertical="top" wrapText="1"/>
    </xf>
    <xf numFmtId="172" fontId="4" fillId="41" borderId="12" xfId="0" applyNumberFormat="1" applyFont="1" applyFill="1" applyBorder="1" applyAlignment="1">
      <alignment horizontal="right" vertical="top" wrapText="1"/>
    </xf>
    <xf numFmtId="43" fontId="3" fillId="42" borderId="0" xfId="74" applyNumberFormat="1" applyFont="1" applyFill="1" applyBorder="1" applyAlignment="1">
      <alignment horizontal="justify" vertical="top"/>
    </xf>
    <xf numFmtId="0" fontId="3" fillId="42" borderId="0" xfId="0" applyFont="1" applyFill="1" applyAlignment="1">
      <alignment vertical="top"/>
    </xf>
    <xf numFmtId="0" fontId="57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0" fontId="59" fillId="0" borderId="0" xfId="0" applyNumberFormat="1" applyFont="1" applyBorder="1" applyAlignment="1">
      <alignment horizontal="center"/>
    </xf>
    <xf numFmtId="0" fontId="33" fillId="0" borderId="15" xfId="51" applyNumberFormat="1" applyFont="1" applyBorder="1" applyAlignment="1">
      <alignment/>
      <protection/>
    </xf>
    <xf numFmtId="0" fontId="32" fillId="0" borderId="0" xfId="51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36" fillId="34" borderId="0" xfId="54" applyFont="1" applyFill="1" applyBorder="1" applyAlignment="1">
      <alignment vertical="top" wrapText="1"/>
      <protection/>
    </xf>
    <xf numFmtId="0" fontId="36" fillId="40" borderId="24" xfId="54" applyFont="1" applyFill="1" applyBorder="1" applyAlignment="1">
      <alignment horizontal="center" vertical="top" wrapText="1"/>
      <protection/>
    </xf>
    <xf numFmtId="0" fontId="36" fillId="40" borderId="25" xfId="54" applyFont="1" applyFill="1" applyBorder="1" applyAlignment="1">
      <alignment horizontal="center" vertical="top" wrapText="1"/>
      <protection/>
    </xf>
    <xf numFmtId="0" fontId="36" fillId="40" borderId="26" xfId="54" applyFont="1" applyFill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top" wrapText="1"/>
    </xf>
    <xf numFmtId="0" fontId="3" fillId="34" borderId="11" xfId="55" applyFont="1" applyFill="1" applyBorder="1" applyAlignment="1">
      <alignment horizontal="center" vertical="top"/>
      <protection/>
    </xf>
    <xf numFmtId="0" fontId="3" fillId="34" borderId="11" xfId="55" applyNumberFormat="1" applyFont="1" applyFill="1" applyBorder="1" applyAlignment="1">
      <alignment horizontal="justify" vertical="top" wrapText="1"/>
      <protection/>
    </xf>
    <xf numFmtId="0" fontId="3" fillId="34" borderId="11" xfId="48" applyFont="1" applyFill="1" applyBorder="1" applyAlignment="1">
      <alignment horizontal="center" vertical="top" wrapText="1"/>
      <protection/>
    </xf>
    <xf numFmtId="172" fontId="3" fillId="35" borderId="11" xfId="55" applyNumberFormat="1" applyFont="1" applyFill="1" applyBorder="1" applyAlignment="1">
      <alignment horizontal="right" vertical="top"/>
      <protection/>
    </xf>
    <xf numFmtId="173" fontId="3" fillId="34" borderId="11" xfId="74" applyNumberFormat="1" applyFont="1" applyFill="1" applyBorder="1" applyAlignment="1" applyProtection="1">
      <alignment horizontal="right" vertical="top"/>
      <protection/>
    </xf>
    <xf numFmtId="172" fontId="3" fillId="35" borderId="12" xfId="55" applyNumberFormat="1" applyFont="1" applyFill="1" applyBorder="1" applyAlignment="1">
      <alignment horizontal="right" vertical="top"/>
      <protection/>
    </xf>
    <xf numFmtId="170" fontId="0" fillId="0" borderId="0" xfId="74" applyBorder="1" applyAlignment="1">
      <alignment vertical="top"/>
    </xf>
    <xf numFmtId="0" fontId="3" fillId="38" borderId="0" xfId="0" applyFont="1" applyFill="1" applyBorder="1" applyAlignment="1">
      <alignment horizontal="right" vertical="top"/>
    </xf>
    <xf numFmtId="0" fontId="3" fillId="38" borderId="0" xfId="0" applyFont="1" applyFill="1" applyBorder="1" applyAlignment="1">
      <alignment vertical="top"/>
    </xf>
    <xf numFmtId="170" fontId="4" fillId="38" borderId="0" xfId="0" applyNumberFormat="1" applyFont="1" applyFill="1" applyBorder="1" applyAlignment="1">
      <alignment vertical="top"/>
    </xf>
    <xf numFmtId="0" fontId="4" fillId="37" borderId="0" xfId="0" applyFont="1" applyFill="1" applyBorder="1" applyAlignment="1">
      <alignment horizontal="right" vertical="top"/>
    </xf>
    <xf numFmtId="0" fontId="4" fillId="37" borderId="0" xfId="0" applyFont="1" applyFill="1" applyBorder="1" applyAlignment="1">
      <alignment vertical="top"/>
    </xf>
    <xf numFmtId="170" fontId="4" fillId="37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4" borderId="19" xfId="48" applyFont="1" applyFill="1" applyBorder="1" applyAlignment="1">
      <alignment horizontal="center" vertical="top"/>
      <protection/>
    </xf>
    <xf numFmtId="173" fontId="3" fillId="34" borderId="20" xfId="74" applyNumberFormat="1" applyFont="1" applyFill="1" applyBorder="1" applyAlignment="1" applyProtection="1">
      <alignment horizontal="right" vertical="top"/>
      <protection/>
    </xf>
    <xf numFmtId="4" fontId="4" fillId="35" borderId="27" xfId="0" applyNumberFormat="1" applyFont="1" applyFill="1" applyBorder="1" applyAlignment="1" quotePrefix="1">
      <alignment horizontal="center" vertical="top"/>
    </xf>
    <xf numFmtId="4" fontId="3" fillId="36" borderId="0" xfId="0" applyNumberFormat="1" applyFont="1" applyFill="1" applyBorder="1" applyAlignment="1">
      <alignment horizontal="center" vertical="top"/>
    </xf>
    <xf numFmtId="4" fontId="3" fillId="34" borderId="0" xfId="0" applyNumberFormat="1" applyFont="1" applyFill="1" applyBorder="1" applyAlignment="1">
      <alignment horizontal="center" vertical="top"/>
    </xf>
    <xf numFmtId="4" fontId="3" fillId="42" borderId="0" xfId="0" applyNumberFormat="1" applyFont="1" applyFill="1" applyBorder="1" applyAlignment="1">
      <alignment horizontal="center" vertical="top"/>
    </xf>
    <xf numFmtId="0" fontId="31" fillId="0" borderId="15" xfId="53" applyFont="1" applyBorder="1" applyAlignment="1">
      <alignment horizontal="left" vertical="center"/>
      <protection/>
    </xf>
    <xf numFmtId="43" fontId="32" fillId="0" borderId="15" xfId="53" applyNumberFormat="1" applyFont="1" applyBorder="1" applyAlignment="1">
      <alignment horizontal="right" vertical="center"/>
      <protection/>
    </xf>
    <xf numFmtId="10" fontId="31" fillId="0" borderId="15" xfId="53" applyNumberFormat="1" applyFont="1" applyBorder="1" applyAlignment="1">
      <alignment horizontal="center" vertical="center"/>
      <protection/>
    </xf>
    <xf numFmtId="10" fontId="32" fillId="0" borderId="15" xfId="53" applyNumberFormat="1" applyFont="1" applyBorder="1" applyAlignment="1">
      <alignment horizontal="center" vertical="center"/>
      <protection/>
    </xf>
    <xf numFmtId="0" fontId="32" fillId="0" borderId="0" xfId="53" applyFont="1" applyAlignment="1">
      <alignment vertical="center"/>
      <protection/>
    </xf>
    <xf numFmtId="43" fontId="32" fillId="0" borderId="13" xfId="53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13" xfId="55" applyNumberFormat="1" applyFont="1" applyFill="1" applyBorder="1" applyAlignment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3" fillId="0" borderId="13" xfId="48" applyFont="1" applyFill="1" applyBorder="1" applyAlignment="1">
      <alignment horizontal="center" vertical="top"/>
      <protection/>
    </xf>
    <xf numFmtId="0" fontId="3" fillId="0" borderId="13" xfId="48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justify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173" fontId="3" fillId="0" borderId="13" xfId="74" applyNumberFormat="1" applyFont="1" applyFill="1" applyBorder="1" applyAlignment="1" applyProtection="1">
      <alignment horizontal="right" vertical="top"/>
      <protection/>
    </xf>
    <xf numFmtId="0" fontId="3" fillId="0" borderId="10" xfId="48" applyFont="1" applyFill="1" applyBorder="1" applyAlignment="1">
      <alignment horizontal="center" vertical="top"/>
      <protection/>
    </xf>
    <xf numFmtId="0" fontId="3" fillId="0" borderId="11" xfId="48" applyFont="1" applyFill="1" applyBorder="1" applyAlignment="1">
      <alignment horizontal="center" vertical="top" wrapText="1"/>
      <protection/>
    </xf>
    <xf numFmtId="0" fontId="3" fillId="0" borderId="11" xfId="55" applyFont="1" applyFill="1" applyBorder="1" applyAlignment="1">
      <alignment horizontal="justify" vertical="top" wrapText="1"/>
      <protection/>
    </xf>
    <xf numFmtId="4" fontId="3" fillId="0" borderId="11" xfId="55" applyNumberFormat="1" applyFont="1" applyFill="1" applyBorder="1" applyAlignment="1">
      <alignment horizontal="right" vertical="top"/>
      <protection/>
    </xf>
    <xf numFmtId="173" fontId="3" fillId="0" borderId="11" xfId="74" applyNumberFormat="1" applyFont="1" applyFill="1" applyBorder="1" applyAlignment="1" applyProtection="1">
      <alignment horizontal="right" vertical="top"/>
      <protection/>
    </xf>
    <xf numFmtId="173" fontId="3" fillId="0" borderId="12" xfId="74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48" applyFont="1" applyFill="1" applyBorder="1" applyAlignment="1">
      <alignment horizontal="center" vertical="top"/>
      <protection/>
    </xf>
    <xf numFmtId="0" fontId="3" fillId="0" borderId="0" xfId="48" applyFont="1" applyFill="1" applyBorder="1" applyAlignment="1">
      <alignment horizontal="center" vertical="top" wrapText="1"/>
      <protection/>
    </xf>
    <xf numFmtId="0" fontId="3" fillId="0" borderId="0" xfId="55" applyFont="1" applyFill="1" applyBorder="1" applyAlignment="1">
      <alignment horizontal="justify" vertical="top" wrapText="1"/>
      <protection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55" applyNumberFormat="1" applyFont="1" applyFill="1" applyBorder="1" applyAlignment="1">
      <alignment horizontal="right" vertical="top"/>
      <protection/>
    </xf>
    <xf numFmtId="173" fontId="3" fillId="0" borderId="0" xfId="74" applyNumberFormat="1" applyFont="1" applyFill="1" applyBorder="1" applyAlignment="1" applyProtection="1">
      <alignment horizontal="right" vertical="top"/>
      <protection/>
    </xf>
    <xf numFmtId="0" fontId="3" fillId="0" borderId="13" xfId="0" applyFont="1" applyFill="1" applyBorder="1" applyAlignment="1">
      <alignment horizontal="center" vertical="top"/>
    </xf>
    <xf numFmtId="0" fontId="3" fillId="0" borderId="13" xfId="55" applyFont="1" applyFill="1" applyBorder="1" applyAlignment="1">
      <alignment horizontal="center" vertical="top"/>
      <protection/>
    </xf>
    <xf numFmtId="0" fontId="3" fillId="0" borderId="13" xfId="55" applyNumberFormat="1" applyFont="1" applyFill="1" applyBorder="1" applyAlignment="1">
      <alignment horizontal="justify" vertical="top" wrapText="1"/>
      <protection/>
    </xf>
    <xf numFmtId="172" fontId="3" fillId="0" borderId="13" xfId="55" applyNumberFormat="1" applyFont="1" applyFill="1" applyBorder="1" applyAlignment="1">
      <alignment horizontal="right" vertical="top"/>
      <protection/>
    </xf>
    <xf numFmtId="43" fontId="3" fillId="0" borderId="0" xfId="74" applyNumberFormat="1" applyFont="1" applyFill="1" applyBorder="1" applyAlignment="1">
      <alignment horizontal="justify" vertical="top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170" fontId="3" fillId="0" borderId="13" xfId="0" applyNumberFormat="1" applyFont="1" applyFill="1" applyBorder="1" applyAlignment="1">
      <alignment vertical="top"/>
    </xf>
    <xf numFmtId="170" fontId="0" fillId="0" borderId="0" xfId="74" applyFont="1" applyFill="1" applyBorder="1" applyAlignment="1">
      <alignment vertical="top"/>
    </xf>
    <xf numFmtId="170" fontId="3" fillId="0" borderId="0" xfId="0" applyNumberFormat="1" applyFont="1" applyFill="1" applyBorder="1" applyAlignment="1">
      <alignment vertical="top"/>
    </xf>
    <xf numFmtId="0" fontId="3" fillId="0" borderId="13" xfId="48" applyNumberFormat="1" applyFont="1" applyFill="1" applyBorder="1" applyAlignment="1">
      <alignment horizontal="center" vertical="top" wrapText="1"/>
      <protection/>
    </xf>
    <xf numFmtId="0" fontId="60" fillId="0" borderId="0" xfId="0" applyFont="1" applyAlignment="1">
      <alignment horizontal="center"/>
    </xf>
    <xf numFmtId="170" fontId="37" fillId="43" borderId="24" xfId="0" applyNumberFormat="1" applyFont="1" applyFill="1" applyBorder="1" applyAlignment="1">
      <alignment horizontal="center" vertical="top"/>
    </xf>
    <xf numFmtId="170" fontId="37" fillId="43" borderId="26" xfId="0" applyNumberFormat="1" applyFont="1" applyFill="1" applyBorder="1" applyAlignment="1">
      <alignment horizontal="center" vertical="top"/>
    </xf>
    <xf numFmtId="170" fontId="37" fillId="43" borderId="24" xfId="0" applyNumberFormat="1" applyFont="1" applyFill="1" applyBorder="1" applyAlignment="1">
      <alignment horizontal="right" vertical="top"/>
    </xf>
    <xf numFmtId="170" fontId="37" fillId="43" borderId="25" xfId="0" applyNumberFormat="1" applyFont="1" applyFill="1" applyBorder="1" applyAlignment="1">
      <alignment horizontal="right" vertical="top"/>
    </xf>
    <xf numFmtId="170" fontId="37" fillId="43" borderId="26" xfId="0" applyNumberFormat="1" applyFont="1" applyFill="1" applyBorder="1" applyAlignment="1">
      <alignment horizontal="right" vertical="top"/>
    </xf>
    <xf numFmtId="0" fontId="36" fillId="34" borderId="0" xfId="54" applyFont="1" applyFill="1" applyBorder="1" applyAlignment="1">
      <alignment horizontal="center" vertical="top" wrapText="1"/>
      <protection/>
    </xf>
    <xf numFmtId="0" fontId="57" fillId="0" borderId="24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8" xfId="0" applyFont="1" applyBorder="1" applyAlignment="1">
      <alignment horizontal="left"/>
    </xf>
    <xf numFmtId="0" fontId="57" fillId="0" borderId="29" xfId="0" applyFont="1" applyBorder="1" applyAlignment="1">
      <alignment horizontal="left"/>
    </xf>
    <xf numFmtId="0" fontId="57" fillId="0" borderId="30" xfId="0" applyFont="1" applyBorder="1" applyAlignment="1">
      <alignment horizontal="left"/>
    </xf>
    <xf numFmtId="0" fontId="57" fillId="0" borderId="31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57" fillId="0" borderId="32" xfId="0" applyFont="1" applyBorder="1" applyAlignment="1">
      <alignment horizontal="left"/>
    </xf>
    <xf numFmtId="0" fontId="57" fillId="0" borderId="33" xfId="0" applyFont="1" applyBorder="1" applyAlignment="1">
      <alignment horizontal="left" wrapText="1"/>
    </xf>
    <xf numFmtId="0" fontId="57" fillId="0" borderId="34" xfId="0" applyFont="1" applyBorder="1" applyAlignment="1">
      <alignment horizontal="left" wrapText="1"/>
    </xf>
    <xf numFmtId="0" fontId="57" fillId="0" borderId="35" xfId="0" applyFont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61" fillId="0" borderId="0" xfId="0" applyFont="1" applyAlignment="1">
      <alignment horizontal="center"/>
    </xf>
    <xf numFmtId="0" fontId="31" fillId="0" borderId="14" xfId="53" applyFont="1" applyBorder="1" applyAlignment="1">
      <alignment horizontal="center" vertical="center"/>
      <protection/>
    </xf>
    <xf numFmtId="0" fontId="31" fillId="0" borderId="19" xfId="53" applyFont="1" applyBorder="1" applyAlignment="1">
      <alignment horizontal="center" vertical="center"/>
      <protection/>
    </xf>
    <xf numFmtId="0" fontId="32" fillId="0" borderId="13" xfId="53" applyFont="1" applyBorder="1" applyAlignment="1">
      <alignment horizontal="center" vertical="center"/>
      <protection/>
    </xf>
    <xf numFmtId="174" fontId="4" fillId="37" borderId="13" xfId="65" applyNumberFormat="1" applyFont="1" applyFill="1" applyBorder="1" applyAlignment="1">
      <alignment horizontal="center" vertical="center" wrapText="1"/>
    </xf>
    <xf numFmtId="49" fontId="31" fillId="0" borderId="13" xfId="53" applyNumberFormat="1" applyFont="1" applyBorder="1" applyAlignment="1">
      <alignment horizontal="center" vertical="center"/>
      <protection/>
    </xf>
    <xf numFmtId="0" fontId="31" fillId="0" borderId="13" xfId="53" applyFont="1" applyBorder="1" applyAlignment="1">
      <alignment horizontal="center" vertical="center"/>
      <protection/>
    </xf>
    <xf numFmtId="43" fontId="31" fillId="0" borderId="13" xfId="53" applyNumberFormat="1" applyFont="1" applyBorder="1" applyAlignment="1">
      <alignment horizontal="right" vertical="center"/>
      <protection/>
    </xf>
    <xf numFmtId="0" fontId="31" fillId="0" borderId="13" xfId="53" applyFont="1" applyBorder="1" applyAlignment="1">
      <alignment horizontal="right" vertical="center"/>
      <protection/>
    </xf>
    <xf numFmtId="0" fontId="4" fillId="37" borderId="10" xfId="53" applyFont="1" applyFill="1" applyBorder="1" applyAlignment="1">
      <alignment horizontal="center" vertical="center" wrapText="1"/>
      <protection/>
    </xf>
    <xf numFmtId="0" fontId="4" fillId="37" borderId="12" xfId="53" applyFont="1" applyFill="1" applyBorder="1" applyAlignment="1">
      <alignment horizontal="center" vertical="center" wrapText="1"/>
      <protection/>
    </xf>
    <xf numFmtId="0" fontId="31" fillId="0" borderId="14" xfId="53" applyFont="1" applyBorder="1" applyAlignment="1">
      <alignment horizontal="left" vertical="center" wrapText="1"/>
      <protection/>
    </xf>
    <xf numFmtId="0" fontId="31" fillId="0" borderId="16" xfId="53" applyFont="1" applyBorder="1" applyAlignment="1">
      <alignment horizontal="left" vertical="center" wrapText="1"/>
      <protection/>
    </xf>
    <xf numFmtId="0" fontId="31" fillId="0" borderId="19" xfId="53" applyFont="1" applyBorder="1" applyAlignment="1">
      <alignment horizontal="left" vertical="center" wrapText="1"/>
      <protection/>
    </xf>
    <xf numFmtId="0" fontId="31" fillId="0" borderId="21" xfId="53" applyFont="1" applyBorder="1" applyAlignment="1">
      <alignment horizontal="left" vertical="center" wrapText="1"/>
      <protection/>
    </xf>
    <xf numFmtId="43" fontId="31" fillId="0" borderId="13" xfId="53" applyNumberFormat="1" applyFont="1" applyBorder="1" applyAlignment="1">
      <alignment horizontal="center" vertical="center"/>
      <protection/>
    </xf>
    <xf numFmtId="10" fontId="31" fillId="0" borderId="13" xfId="53" applyNumberFormat="1" applyFont="1" applyBorder="1" applyAlignment="1">
      <alignment horizontal="center" vertical="center"/>
      <protection/>
    </xf>
    <xf numFmtId="10" fontId="31" fillId="0" borderId="10" xfId="53" applyNumberFormat="1" applyFont="1" applyBorder="1" applyAlignment="1">
      <alignment horizontal="center" vertical="center"/>
      <protection/>
    </xf>
    <xf numFmtId="0" fontId="57" fillId="0" borderId="36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32" fillId="0" borderId="10" xfId="53" applyFont="1" applyBorder="1" applyAlignment="1">
      <alignment horizontal="right" vertical="center"/>
      <protection/>
    </xf>
    <xf numFmtId="0" fontId="32" fillId="0" borderId="11" xfId="53" applyFont="1" applyBorder="1" applyAlignment="1">
      <alignment horizontal="right" vertical="center"/>
      <protection/>
    </xf>
    <xf numFmtId="0" fontId="31" fillId="0" borderId="14" xfId="53" applyFont="1" applyBorder="1" applyAlignment="1">
      <alignment horizontal="left" vertical="center"/>
      <protection/>
    </xf>
    <xf numFmtId="0" fontId="31" fillId="0" borderId="16" xfId="53" applyFont="1" applyBorder="1" applyAlignment="1">
      <alignment horizontal="left" vertical="center"/>
      <protection/>
    </xf>
    <xf numFmtId="0" fontId="31" fillId="0" borderId="19" xfId="53" applyFont="1" applyBorder="1" applyAlignment="1">
      <alignment horizontal="left" vertical="center"/>
      <protection/>
    </xf>
    <xf numFmtId="0" fontId="31" fillId="0" borderId="21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 wrapText="1"/>
      <protection/>
    </xf>
    <xf numFmtId="0" fontId="3" fillId="38" borderId="0" xfId="50" applyFont="1" applyFill="1" applyAlignment="1" applyProtection="1">
      <alignment horizontal="left"/>
      <protection locked="0"/>
    </xf>
    <xf numFmtId="10" fontId="4" fillId="38" borderId="14" xfId="61" applyNumberFormat="1" applyFont="1" applyFill="1" applyBorder="1" applyAlignment="1" applyProtection="1">
      <alignment horizontal="center" vertical="center" wrapText="1"/>
      <protection/>
    </xf>
    <xf numFmtId="10" fontId="4" fillId="38" borderId="16" xfId="61" applyNumberFormat="1" applyFont="1" applyFill="1" applyBorder="1" applyAlignment="1" applyProtection="1">
      <alignment horizontal="center" vertical="center" wrapText="1"/>
      <protection/>
    </xf>
    <xf numFmtId="10" fontId="4" fillId="38" borderId="19" xfId="61" applyNumberFormat="1" applyFont="1" applyFill="1" applyBorder="1" applyAlignment="1" applyProtection="1">
      <alignment horizontal="center" vertical="center" wrapText="1"/>
      <protection/>
    </xf>
    <xf numFmtId="10" fontId="4" fillId="38" borderId="21" xfId="61" applyNumberFormat="1" applyFont="1" applyFill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horizontal="left" vertical="top" wrapText="1"/>
      <protection/>
    </xf>
    <xf numFmtId="0" fontId="3" fillId="0" borderId="0" xfId="50" applyFont="1" applyBorder="1" applyAlignment="1" applyProtection="1">
      <alignment horizontal="left" vertical="top" wrapText="1"/>
      <protection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4" fillId="0" borderId="0" xfId="50" applyFont="1" applyAlignment="1" applyProtection="1">
      <alignment/>
      <protection/>
    </xf>
    <xf numFmtId="0" fontId="57" fillId="0" borderId="0" xfId="0" applyFont="1" applyBorder="1" applyAlignment="1">
      <alignment horizontal="center"/>
    </xf>
    <xf numFmtId="0" fontId="4" fillId="39" borderId="10" xfId="50" applyFont="1" applyFill="1" applyBorder="1" applyAlignment="1">
      <alignment horizontal="center" vertical="center" wrapText="1"/>
      <protection/>
    </xf>
    <xf numFmtId="0" fontId="4" fillId="39" borderId="12" xfId="50" applyFont="1" applyFill="1" applyBorder="1" applyAlignment="1">
      <alignment horizontal="center" vertical="center" wrapText="1"/>
      <protection/>
    </xf>
    <xf numFmtId="10" fontId="4" fillId="38" borderId="0" xfId="51" applyNumberFormat="1" applyFont="1" applyFill="1" applyBorder="1" applyAlignment="1" applyProtection="1">
      <alignment horizontal="left" vertical="center" wrapText="1"/>
      <protection locked="0"/>
    </xf>
    <xf numFmtId="0" fontId="40" fillId="37" borderId="0" xfId="51" applyNumberFormat="1" applyFont="1" applyFill="1" applyBorder="1" applyAlignment="1">
      <alignment horizontal="center"/>
      <protection/>
    </xf>
    <xf numFmtId="0" fontId="31" fillId="0" borderId="0" xfId="51" applyNumberFormat="1" applyFont="1" applyBorder="1" applyAlignment="1">
      <alignment horizontal="left" wrapText="1"/>
      <protection/>
    </xf>
    <xf numFmtId="0" fontId="3" fillId="0" borderId="0" xfId="50" applyFont="1" applyBorder="1" applyAlignment="1">
      <alignment horizontal="left" vertical="top" wrapText="1"/>
      <protection/>
    </xf>
    <xf numFmtId="0" fontId="4" fillId="39" borderId="11" xfId="50" applyFont="1" applyFill="1" applyBorder="1" applyAlignment="1">
      <alignment horizontal="center" vertical="center" wrapText="1"/>
      <protection/>
    </xf>
    <xf numFmtId="0" fontId="63" fillId="0" borderId="0" xfId="50" applyFont="1" applyBorder="1" applyAlignment="1" applyProtection="1">
      <alignment horizontal="left" vertical="top" wrapText="1"/>
      <protection/>
    </xf>
    <xf numFmtId="43" fontId="4" fillId="44" borderId="14" xfId="64" applyFont="1" applyFill="1" applyBorder="1" applyAlignment="1">
      <alignment horizontal="center" vertical="center"/>
    </xf>
    <xf numFmtId="43" fontId="4" fillId="44" borderId="19" xfId="64" applyFont="1" applyFill="1" applyBorder="1" applyAlignment="1">
      <alignment horizontal="center" vertical="center"/>
    </xf>
    <xf numFmtId="43" fontId="4" fillId="44" borderId="16" xfId="64" applyFont="1" applyFill="1" applyBorder="1" applyAlignment="1">
      <alignment horizontal="left" vertical="center"/>
    </xf>
    <xf numFmtId="0" fontId="64" fillId="0" borderId="21" xfId="51" applyFont="1" applyBorder="1">
      <alignment/>
      <protection/>
    </xf>
    <xf numFmtId="0" fontId="4" fillId="39" borderId="27" xfId="50" applyFont="1" applyFill="1" applyBorder="1" applyAlignment="1">
      <alignment horizontal="center" vertical="center" wrapText="1"/>
      <protection/>
    </xf>
    <xf numFmtId="0" fontId="4" fillId="39" borderId="37" xfId="50" applyFont="1" applyFill="1" applyBorder="1" applyAlignment="1">
      <alignment horizontal="center" vertical="center" wrapText="1"/>
      <protection/>
    </xf>
    <xf numFmtId="10" fontId="3" fillId="38" borderId="0" xfId="51" applyNumberFormat="1" applyFont="1" applyFill="1" applyBorder="1" applyAlignment="1" applyProtection="1">
      <alignment horizontal="justify" vertical="top" wrapText="1"/>
      <protection locked="0"/>
    </xf>
    <xf numFmtId="0" fontId="3" fillId="0" borderId="0" xfId="50" applyFont="1" applyBorder="1" applyAlignment="1" applyProtection="1">
      <alignment horizontal="left" wrapText="1"/>
      <protection/>
    </xf>
    <xf numFmtId="10" fontId="33" fillId="0" borderId="14" xfId="59" applyNumberFormat="1" applyFont="1" applyBorder="1" applyAlignment="1" applyProtection="1">
      <alignment horizontal="center" vertical="center" wrapText="1"/>
      <protection/>
    </xf>
    <xf numFmtId="10" fontId="33" fillId="0" borderId="19" xfId="59" applyNumberFormat="1" applyFont="1" applyBorder="1" applyAlignment="1" applyProtection="1">
      <alignment horizontal="center" vertical="center" wrapText="1"/>
      <protection/>
    </xf>
    <xf numFmtId="0" fontId="4" fillId="0" borderId="0" xfId="50" applyFont="1" applyBorder="1" applyAlignment="1">
      <alignment horizontal="left"/>
      <protection/>
    </xf>
    <xf numFmtId="4" fontId="4" fillId="40" borderId="37" xfId="49" applyNumberFormat="1" applyFont="1" applyFill="1" applyBorder="1" applyAlignment="1">
      <alignment horizontal="right"/>
      <protection/>
    </xf>
    <xf numFmtId="0" fontId="4" fillId="40" borderId="13" xfId="49" applyFont="1" applyFill="1" applyBorder="1" applyAlignment="1">
      <alignment horizontal="justify" vertical="top" wrapText="1"/>
      <protection/>
    </xf>
    <xf numFmtId="0" fontId="4" fillId="0" borderId="10" xfId="49" applyFont="1" applyFill="1" applyBorder="1" applyAlignment="1">
      <alignment horizontal="left" vertical="top" wrapText="1"/>
      <protection/>
    </xf>
    <xf numFmtId="0" fontId="4" fillId="0" borderId="11" xfId="49" applyFont="1" applyFill="1" applyBorder="1" applyAlignment="1">
      <alignment horizontal="left" vertical="top" wrapText="1"/>
      <protection/>
    </xf>
    <xf numFmtId="0" fontId="4" fillId="0" borderId="12" xfId="49" applyFont="1" applyFill="1" applyBorder="1" applyAlignment="1">
      <alignment horizontal="left" vertical="top" wrapText="1"/>
      <protection/>
    </xf>
    <xf numFmtId="4" fontId="3" fillId="40" borderId="37" xfId="49" applyNumberFormat="1" applyFont="1" applyFill="1" applyBorder="1" applyAlignment="1">
      <alignment horizontal="right"/>
      <protection/>
    </xf>
    <xf numFmtId="0" fontId="4" fillId="0" borderId="10" xfId="49" applyFont="1" applyBorder="1" applyAlignment="1">
      <alignment horizontal="right"/>
      <protection/>
    </xf>
    <xf numFmtId="0" fontId="4" fillId="0" borderId="11" xfId="49" applyFont="1" applyBorder="1" applyAlignment="1">
      <alignment horizontal="right"/>
      <protection/>
    </xf>
    <xf numFmtId="0" fontId="4" fillId="0" borderId="12" xfId="49" applyFont="1" applyBorder="1" applyAlignment="1">
      <alignment horizontal="right"/>
      <protection/>
    </xf>
    <xf numFmtId="4" fontId="3" fillId="40" borderId="13" xfId="49" applyNumberFormat="1" applyFont="1" applyFill="1" applyBorder="1" applyAlignment="1">
      <alignment horizontal="right"/>
      <protection/>
    </xf>
    <xf numFmtId="0" fontId="3" fillId="0" borderId="10" xfId="49" applyFont="1" applyFill="1" applyBorder="1" applyAlignment="1">
      <alignment horizontal="justify" vertical="top" wrapText="1"/>
      <protection/>
    </xf>
    <xf numFmtId="0" fontId="3" fillId="0" borderId="11" xfId="49" applyFont="1" applyFill="1" applyBorder="1" applyAlignment="1">
      <alignment horizontal="justify" vertical="top" wrapText="1"/>
      <protection/>
    </xf>
    <xf numFmtId="0" fontId="3" fillId="0" borderId="12" xfId="49" applyFont="1" applyFill="1" applyBorder="1" applyAlignment="1">
      <alignment horizontal="justify" vertical="top" wrapText="1"/>
      <protection/>
    </xf>
    <xf numFmtId="0" fontId="3" fillId="0" borderId="10" xfId="49" applyFont="1" applyFill="1" applyBorder="1" applyAlignment="1">
      <alignment horizontal="left" vertical="top" wrapText="1"/>
      <protection/>
    </xf>
    <xf numFmtId="0" fontId="3" fillId="0" borderId="11" xfId="49" applyFont="1" applyFill="1" applyBorder="1" applyAlignment="1">
      <alignment horizontal="left" vertical="top" wrapText="1"/>
      <protection/>
    </xf>
    <xf numFmtId="0" fontId="3" fillId="0" borderId="12" xfId="49" applyFont="1" applyFill="1" applyBorder="1" applyAlignment="1">
      <alignment horizontal="left" vertical="top" wrapText="1"/>
      <protection/>
    </xf>
    <xf numFmtId="4" fontId="4" fillId="40" borderId="13" xfId="49" applyNumberFormat="1" applyFont="1" applyFill="1" applyBorder="1" applyAlignment="1">
      <alignment horizontal="right"/>
      <protection/>
    </xf>
    <xf numFmtId="0" fontId="40" fillId="43" borderId="13" xfId="49" applyFont="1" applyFill="1" applyBorder="1" applyAlignment="1">
      <alignment horizontal="center"/>
      <protection/>
    </xf>
    <xf numFmtId="17" fontId="3" fillId="0" borderId="10" xfId="49" applyNumberFormat="1" applyFont="1" applyBorder="1" applyAlignment="1" quotePrefix="1">
      <alignment horizontal="left" vertical="center"/>
      <protection/>
    </xf>
    <xf numFmtId="0" fontId="3" fillId="0" borderId="12" xfId="49" applyFont="1" applyBorder="1" applyAlignment="1">
      <alignment horizontal="left" vertical="center"/>
      <protection/>
    </xf>
    <xf numFmtId="0" fontId="4" fillId="0" borderId="27" xfId="49" applyFont="1" applyBorder="1" applyAlignment="1">
      <alignment horizontal="left" vertical="center"/>
      <protection/>
    </xf>
    <xf numFmtId="0" fontId="4" fillId="0" borderId="37" xfId="49" applyFont="1" applyBorder="1" applyAlignment="1">
      <alignment horizontal="left" vertical="center"/>
      <protection/>
    </xf>
    <xf numFmtId="0" fontId="3" fillId="0" borderId="13" xfId="49" applyFont="1" applyBorder="1" applyAlignment="1">
      <alignment horizontal="justify" vertical="center" wrapText="1"/>
      <protection/>
    </xf>
    <xf numFmtId="0" fontId="4" fillId="0" borderId="27" xfId="49" applyFont="1" applyBorder="1" applyAlignment="1">
      <alignment horizontal="center" vertical="center"/>
      <protection/>
    </xf>
    <xf numFmtId="0" fontId="4" fillId="0" borderId="37" xfId="49" applyFont="1" applyBorder="1" applyAlignment="1">
      <alignment horizontal="center" vertical="center"/>
      <protection/>
    </xf>
    <xf numFmtId="9" fontId="3" fillId="0" borderId="13" xfId="60" applyNumberFormat="1" applyFont="1" applyBorder="1" applyAlignment="1">
      <alignment horizontal="center" vertical="center"/>
    </xf>
    <xf numFmtId="0" fontId="4" fillId="0" borderId="27" xfId="49" applyFont="1" applyBorder="1" applyAlignment="1">
      <alignment horizontal="center" vertical="top"/>
      <protection/>
    </xf>
    <xf numFmtId="0" fontId="4" fillId="0" borderId="37" xfId="49" applyFont="1" applyBorder="1" applyAlignment="1">
      <alignment horizontal="center" vertical="top"/>
      <protection/>
    </xf>
    <xf numFmtId="9" fontId="3" fillId="0" borderId="13" xfId="60" applyNumberFormat="1" applyFont="1" applyBorder="1" applyAlignment="1">
      <alignment horizontal="center" vertical="top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 2 2" xfId="49"/>
    <cellStyle name="Normal 2_Modelo de Detalhamento do  BDI" xfId="50"/>
    <cellStyle name="Normal 4 2 3" xfId="51"/>
    <cellStyle name="Normal 5" xfId="52"/>
    <cellStyle name="Normal 7" xfId="53"/>
    <cellStyle name="Normal__rea 1 - projeto nosso bairro ok reajustadio nov-06" xfId="54"/>
    <cellStyle name="Normal_CUSTOS RESUMO" xfId="55"/>
    <cellStyle name="Nota" xfId="56"/>
    <cellStyle name="Percent" xfId="57"/>
    <cellStyle name="Porcentagem 2" xfId="58"/>
    <cellStyle name="Porcentagem 2 2 2" xfId="59"/>
    <cellStyle name="Porcentagem 2 2 3" xfId="60"/>
    <cellStyle name="Porcentagem 4 2" xfId="61"/>
    <cellStyle name="Saída" xfId="62"/>
    <cellStyle name="Comma [0]" xfId="63"/>
    <cellStyle name="Separador de milhares 3 2" xfId="64"/>
    <cellStyle name="Separador de milhares 42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dxfs count="4">
    <dxf>
      <font>
        <color indexed="12"/>
      </font>
    </dxf>
    <dxf>
      <font>
        <b/>
        <i/>
        <color auto="1"/>
      </font>
      <fill>
        <patternFill patternType="solid">
          <bgColor indexed="41"/>
        </patternFill>
      </fill>
    </dxf>
    <dxf>
      <font>
        <b/>
        <i/>
        <color auto="1"/>
      </font>
      <fill>
        <patternFill patternType="solid">
          <bgColor rgb="FFCCFFFF"/>
        </patternFill>
      </fill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1057275</xdr:colOff>
      <xdr:row>6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72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3</xdr:col>
      <xdr:colOff>752475</xdr:colOff>
      <xdr:row>5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134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4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34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495300</xdr:colOff>
      <xdr:row>6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5734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142875</xdr:rowOff>
    </xdr:from>
    <xdr:to>
      <xdr:col>10</xdr:col>
      <xdr:colOff>619125</xdr:colOff>
      <xdr:row>8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95275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142875</xdr:rowOff>
    </xdr:from>
    <xdr:to>
      <xdr:col>10</xdr:col>
      <xdr:colOff>600075</xdr:colOff>
      <xdr:row>8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7019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95250</xdr:rowOff>
    </xdr:from>
    <xdr:to>
      <xdr:col>10</xdr:col>
      <xdr:colOff>609600</xdr:colOff>
      <xdr:row>8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7650"/>
          <a:ext cx="7019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46"/>
  <sheetViews>
    <sheetView view="pageBreakPreview" zoomScaleNormal="110" zoomScaleSheetLayoutView="100" zoomScalePageLayoutView="0" workbookViewId="0" topLeftCell="A32">
      <selection activeCell="G41" sqref="G41:H41"/>
    </sheetView>
  </sheetViews>
  <sheetFormatPr defaultColWidth="9.00390625" defaultRowHeight="13.5"/>
  <cols>
    <col min="1" max="1" width="5.25390625" style="4" bestFit="1" customWidth="1"/>
    <col min="2" max="2" width="7.50390625" style="4" bestFit="1" customWidth="1"/>
    <col min="3" max="3" width="5.00390625" style="4" bestFit="1" customWidth="1"/>
    <col min="4" max="4" width="57.50390625" style="4" customWidth="1"/>
    <col min="5" max="5" width="6.875" style="4" customWidth="1"/>
    <col min="6" max="6" width="12.00390625" style="5" customWidth="1"/>
    <col min="7" max="8" width="15.00390625" style="5" bestFit="1" customWidth="1"/>
    <col min="9" max="9" width="6.00390625" style="7" customWidth="1"/>
    <col min="10" max="10" width="9.00390625" style="120" customWidth="1"/>
    <col min="11" max="16384" width="9.00390625" style="6" customWidth="1"/>
  </cols>
  <sheetData>
    <row r="1" ht="13.5"/>
    <row r="2" ht="13.5"/>
    <row r="3" ht="13.5"/>
    <row r="4" ht="13.5"/>
    <row r="5" ht="13.5"/>
    <row r="6" ht="13.5"/>
    <row r="7" spans="1:8" ht="32.25" thickBot="1">
      <c r="A7" s="225" t="s">
        <v>152</v>
      </c>
      <c r="B7" s="225"/>
      <c r="C7" s="225"/>
      <c r="D7" s="225"/>
      <c r="E7" s="225"/>
      <c r="F7" s="225"/>
      <c r="G7" s="225"/>
      <c r="H7" s="225"/>
    </row>
    <row r="8" spans="6:8" ht="15.75" thickBot="1">
      <c r="F8" s="5"/>
      <c r="G8" s="132" t="s">
        <v>108</v>
      </c>
      <c r="H8" s="135" t="s">
        <v>109</v>
      </c>
    </row>
    <row r="9" spans="1:8" ht="15.75" thickBot="1">
      <c r="A9" s="235" t="s">
        <v>115</v>
      </c>
      <c r="B9" s="236"/>
      <c r="C9" s="236"/>
      <c r="D9" s="236"/>
      <c r="E9" s="237"/>
      <c r="G9" s="232" t="s">
        <v>111</v>
      </c>
      <c r="H9" s="234"/>
    </row>
    <row r="10" spans="1:8" ht="15.75" thickBot="1">
      <c r="A10" s="238" t="s">
        <v>116</v>
      </c>
      <c r="B10" s="239"/>
      <c r="C10" s="239"/>
      <c r="D10" s="239"/>
      <c r="E10" s="240"/>
      <c r="G10" s="133" t="s">
        <v>88</v>
      </c>
      <c r="H10" s="134">
        <v>0.8954</v>
      </c>
    </row>
    <row r="11" spans="1:8" ht="15" customHeight="1" thickBot="1">
      <c r="A11" s="241" t="s">
        <v>117</v>
      </c>
      <c r="B11" s="242"/>
      <c r="C11" s="242"/>
      <c r="D11" s="242"/>
      <c r="E11" s="243"/>
      <c r="G11" s="133" t="s">
        <v>113</v>
      </c>
      <c r="H11" s="134">
        <f>BDI!C47</f>
        <v>0.303</v>
      </c>
    </row>
    <row r="12" spans="1:8" ht="15.75" customHeight="1" thickBot="1">
      <c r="A12" s="244"/>
      <c r="B12" s="244"/>
      <c r="C12" s="244"/>
      <c r="D12" s="244"/>
      <c r="E12" s="244"/>
      <c r="G12" s="232" t="s">
        <v>114</v>
      </c>
      <c r="H12" s="233"/>
    </row>
    <row r="13" spans="1:10" s="13" customFormat="1" ht="13.5">
      <c r="A13" s="231"/>
      <c r="B13" s="231"/>
      <c r="C13" s="231"/>
      <c r="D13" s="231"/>
      <c r="E13" s="231"/>
      <c r="F13" s="231"/>
      <c r="G13" s="231"/>
      <c r="H13" s="231"/>
      <c r="I13" s="16"/>
      <c r="J13" s="119"/>
    </row>
    <row r="14" spans="1:10" s="13" customFormat="1" ht="13.5">
      <c r="A14" s="18" t="s">
        <v>0</v>
      </c>
      <c r="B14" s="19" t="s">
        <v>1</v>
      </c>
      <c r="C14" s="18" t="s">
        <v>2</v>
      </c>
      <c r="D14" s="20" t="s">
        <v>3</v>
      </c>
      <c r="E14" s="18" t="s">
        <v>4</v>
      </c>
      <c r="F14" s="21" t="s">
        <v>7</v>
      </c>
      <c r="G14" s="21" t="s">
        <v>8</v>
      </c>
      <c r="H14" s="21" t="s">
        <v>6</v>
      </c>
      <c r="I14" s="17"/>
      <c r="J14" s="177" t="s">
        <v>89</v>
      </c>
    </row>
    <row r="15" spans="1:10" s="15" customFormat="1" ht="12">
      <c r="A15" s="1"/>
      <c r="B15" s="2"/>
      <c r="C15" s="2">
        <v>1</v>
      </c>
      <c r="D15" s="3" t="s">
        <v>118</v>
      </c>
      <c r="E15" s="8"/>
      <c r="F15" s="9"/>
      <c r="G15" s="9"/>
      <c r="H15" s="10">
        <f>H16</f>
        <v>4127.22</v>
      </c>
      <c r="I15" s="14"/>
      <c r="J15" s="178"/>
    </row>
    <row r="16" spans="1:10" s="218" customFormat="1" ht="12">
      <c r="A16" s="212" t="s">
        <v>90</v>
      </c>
      <c r="B16" s="195" t="s">
        <v>92</v>
      </c>
      <c r="C16" s="213" t="s">
        <v>156</v>
      </c>
      <c r="D16" s="214" t="s">
        <v>93</v>
      </c>
      <c r="E16" s="193" t="s">
        <v>91</v>
      </c>
      <c r="F16" s="215">
        <f>'M. CÁLCULO'!D14</f>
        <v>12.552</v>
      </c>
      <c r="G16" s="196">
        <f>TRUNC(J16*($H$11+1),2)</f>
        <v>328.81</v>
      </c>
      <c r="H16" s="215">
        <f>TRUNC(F16*G16,2)</f>
        <v>4127.22</v>
      </c>
      <c r="I16" s="216"/>
      <c r="J16" s="217">
        <v>252.35</v>
      </c>
    </row>
    <row r="17" spans="1:10" s="12" customFormat="1" ht="12">
      <c r="A17" s="159"/>
      <c r="B17" s="160"/>
      <c r="C17" s="161"/>
      <c r="D17" s="162"/>
      <c r="E17" s="163"/>
      <c r="F17" s="164"/>
      <c r="G17" s="165"/>
      <c r="H17" s="166"/>
      <c r="I17" s="11"/>
      <c r="J17" s="179"/>
    </row>
    <row r="18" spans="1:10" s="15" customFormat="1" ht="12">
      <c r="A18" s="1"/>
      <c r="B18" s="2"/>
      <c r="C18" s="2">
        <v>2</v>
      </c>
      <c r="D18" s="3" t="s">
        <v>119</v>
      </c>
      <c r="E18" s="8" t="s">
        <v>10</v>
      </c>
      <c r="F18" s="9"/>
      <c r="G18" s="9"/>
      <c r="H18" s="10">
        <f>H19+H23+H26</f>
        <v>20349.789999999997</v>
      </c>
      <c r="I18" s="14"/>
      <c r="J18" s="179"/>
    </row>
    <row r="19" spans="1:10" s="144" customFormat="1" ht="12">
      <c r="A19" s="137"/>
      <c r="B19" s="138"/>
      <c r="C19" s="138" t="s">
        <v>5</v>
      </c>
      <c r="D19" s="139" t="s">
        <v>120</v>
      </c>
      <c r="E19" s="140"/>
      <c r="F19" s="141"/>
      <c r="G19" s="141"/>
      <c r="H19" s="142">
        <f>SUM(H20:H21)</f>
        <v>5467.98</v>
      </c>
      <c r="I19" s="143"/>
      <c r="J19" s="180"/>
    </row>
    <row r="20" spans="1:10" s="218" customFormat="1" ht="12">
      <c r="A20" s="192" t="s">
        <v>94</v>
      </c>
      <c r="B20" s="224" t="s">
        <v>193</v>
      </c>
      <c r="C20" s="193" t="s">
        <v>159</v>
      </c>
      <c r="D20" s="194" t="s">
        <v>106</v>
      </c>
      <c r="E20" s="195" t="s">
        <v>70</v>
      </c>
      <c r="F20" s="190">
        <f>'M. CÁLCULO'!D20</f>
        <v>10.2</v>
      </c>
      <c r="G20" s="196">
        <f>COMP_01!J56</f>
        <v>385.77</v>
      </c>
      <c r="H20" s="196">
        <f>TRUNC(F20*G20,2)</f>
        <v>3934.85</v>
      </c>
      <c r="I20" s="216"/>
      <c r="J20" s="217"/>
    </row>
    <row r="21" spans="1:10" s="218" customFormat="1" ht="27" customHeight="1">
      <c r="A21" s="192" t="s">
        <v>94</v>
      </c>
      <c r="B21" s="193" t="s">
        <v>194</v>
      </c>
      <c r="C21" s="193" t="s">
        <v>160</v>
      </c>
      <c r="D21" s="194" t="str">
        <f>COMP_02!B13</f>
        <v>ESCAVAÇÃO VERTICAL A CÉU ABERTO, INCLUINDO CARGA, DESCARGA, EM SOLO DE 1ª CATEGORIA COM ESCAVADEIRA HIDRÁULICA (CAÇAMBA: 0,8 M³/ 111 HP)</v>
      </c>
      <c r="E21" s="195" t="s">
        <v>95</v>
      </c>
      <c r="F21" s="190">
        <f>'M. CÁLCULO'!D21</f>
        <v>678.38</v>
      </c>
      <c r="G21" s="196">
        <f>COMP_02!J56</f>
        <v>2.26</v>
      </c>
      <c r="H21" s="196">
        <f>TRUNC(F21*G21,2)</f>
        <v>1533.13</v>
      </c>
      <c r="I21" s="216"/>
      <c r="J21" s="217"/>
    </row>
    <row r="22" spans="1:10" s="12" customFormat="1" ht="12">
      <c r="A22" s="197"/>
      <c r="B22" s="198"/>
      <c r="C22" s="198"/>
      <c r="D22" s="199"/>
      <c r="E22" s="198"/>
      <c r="F22" s="200"/>
      <c r="G22" s="201"/>
      <c r="H22" s="202"/>
      <c r="I22" s="11"/>
      <c r="J22" s="179"/>
    </row>
    <row r="23" spans="1:10" s="144" customFormat="1" ht="12">
      <c r="A23" s="137"/>
      <c r="B23" s="138"/>
      <c r="C23" s="138" t="s">
        <v>157</v>
      </c>
      <c r="D23" s="139" t="s">
        <v>121</v>
      </c>
      <c r="E23" s="140"/>
      <c r="F23" s="141"/>
      <c r="G23" s="141"/>
      <c r="H23" s="142">
        <f>SUM(H24:H24)</f>
        <v>14475.01</v>
      </c>
      <c r="I23" s="143"/>
      <c r="J23" s="180"/>
    </row>
    <row r="24" spans="1:10" s="218" customFormat="1" ht="28.5" customHeight="1">
      <c r="A24" s="192" t="s">
        <v>94</v>
      </c>
      <c r="B24" s="193" t="s">
        <v>194</v>
      </c>
      <c r="C24" s="193" t="s">
        <v>158</v>
      </c>
      <c r="D24" s="194" t="str">
        <f>COMP_02!B13</f>
        <v>ESCAVAÇÃO VERTICAL A CÉU ABERTO, INCLUINDO CARGA, DESCARGA, EM SOLO DE 1ª CATEGORIA COM ESCAVADEIRA HIDRÁULICA (CAÇAMBA: 0,8 M³/ 111 HP)</v>
      </c>
      <c r="E24" s="195" t="s">
        <v>95</v>
      </c>
      <c r="F24" s="190">
        <f>'M. CÁLCULO'!D24</f>
        <v>6404.872</v>
      </c>
      <c r="G24" s="196">
        <f>COMP_02!J56</f>
        <v>2.26</v>
      </c>
      <c r="H24" s="196">
        <f>TRUNC(F24*G24,2)</f>
        <v>14475.01</v>
      </c>
      <c r="I24" s="216"/>
      <c r="J24" s="217"/>
    </row>
    <row r="25" spans="1:10" s="12" customFormat="1" ht="12">
      <c r="A25" s="206"/>
      <c r="B25" s="207"/>
      <c r="C25" s="207"/>
      <c r="D25" s="208"/>
      <c r="E25" s="209"/>
      <c r="F25" s="210"/>
      <c r="G25" s="196"/>
      <c r="H25" s="211"/>
      <c r="I25" s="11"/>
      <c r="J25" s="179"/>
    </row>
    <row r="26" spans="1:10" s="144" customFormat="1" ht="12">
      <c r="A26" s="137"/>
      <c r="B26" s="138"/>
      <c r="C26" s="138" t="s">
        <v>185</v>
      </c>
      <c r="D26" s="139" t="s">
        <v>186</v>
      </c>
      <c r="E26" s="140"/>
      <c r="F26" s="141"/>
      <c r="G26" s="141"/>
      <c r="H26" s="142">
        <f>SUM(H27:H27)</f>
        <v>406.8</v>
      </c>
      <c r="I26" s="143"/>
      <c r="J26" s="180"/>
    </row>
    <row r="27" spans="1:10" s="218" customFormat="1" ht="28.5" customHeight="1">
      <c r="A27" s="192" t="s">
        <v>94</v>
      </c>
      <c r="B27" s="193" t="s">
        <v>194</v>
      </c>
      <c r="C27" s="193" t="s">
        <v>187</v>
      </c>
      <c r="D27" s="194" t="str">
        <f>COMP_02!B13</f>
        <v>ESCAVAÇÃO VERTICAL A CÉU ABERTO, INCLUINDO CARGA, DESCARGA, EM SOLO DE 1ª CATEGORIA COM ESCAVADEIRA HIDRÁULICA (CAÇAMBA: 0,8 M³/ 111 HP)</v>
      </c>
      <c r="E27" s="195" t="s">
        <v>95</v>
      </c>
      <c r="F27" s="190">
        <f>'M. CÁLCULO'!D27</f>
        <v>180</v>
      </c>
      <c r="G27" s="196">
        <f>COMP_02!J56</f>
        <v>2.26</v>
      </c>
      <c r="H27" s="196">
        <f>TRUNC(F27*G27,2)</f>
        <v>406.8</v>
      </c>
      <c r="I27" s="216"/>
      <c r="J27" s="217"/>
    </row>
    <row r="28" spans="7:10" ht="13.5">
      <c r="G28" s="22"/>
      <c r="J28" s="179"/>
    </row>
    <row r="29" spans="1:10" s="15" customFormat="1" ht="12">
      <c r="A29" s="1"/>
      <c r="B29" s="2"/>
      <c r="C29" s="2">
        <v>3</v>
      </c>
      <c r="D29" s="3" t="s">
        <v>122</v>
      </c>
      <c r="E29" s="8" t="s">
        <v>10</v>
      </c>
      <c r="F29" s="9"/>
      <c r="G29" s="9"/>
      <c r="H29" s="10">
        <f>H30+H33+H37</f>
        <v>437274.45999999996</v>
      </c>
      <c r="I29" s="14"/>
      <c r="J29" s="179"/>
    </row>
    <row r="30" spans="1:10" s="144" customFormat="1" ht="12">
      <c r="A30" s="137"/>
      <c r="B30" s="138"/>
      <c r="C30" s="138" t="s">
        <v>123</v>
      </c>
      <c r="D30" s="139" t="s">
        <v>131</v>
      </c>
      <c r="E30" s="140"/>
      <c r="F30" s="141"/>
      <c r="G30" s="141"/>
      <c r="H30" s="142">
        <f>H31</f>
        <v>70104.64</v>
      </c>
      <c r="I30" s="143"/>
      <c r="J30" s="180"/>
    </row>
    <row r="31" spans="1:10" s="218" customFormat="1" ht="37.5" customHeight="1">
      <c r="A31" s="192" t="s">
        <v>94</v>
      </c>
      <c r="B31" s="193" t="s">
        <v>195</v>
      </c>
      <c r="C31" s="219" t="s">
        <v>133</v>
      </c>
      <c r="D31" s="220" t="str">
        <f>COMP_03!B13</f>
        <v>CERCA COM ESTACA DE MADEIRA ROLICA, DIAMETRO 11CM, ESPAÇAMENTO DE 3M, ALTURA LIVRE DE 1.50M, COM MOURÕES DE MADEIRA ROLICA (D = 16 A 19) A CADA 30M, COM 4 FIOS DE ARAME FARPADO Nº 14 CLASSE 250</v>
      </c>
      <c r="E31" s="212" t="s">
        <v>132</v>
      </c>
      <c r="F31" s="221">
        <f>'M. CÁLCULO'!D31</f>
        <v>2294</v>
      </c>
      <c r="G31" s="196">
        <f>COMP_03!J55</f>
        <v>30.560000000000002</v>
      </c>
      <c r="H31" s="221">
        <f>F31*G31</f>
        <v>70104.64</v>
      </c>
      <c r="I31" s="222"/>
      <c r="J31" s="217"/>
    </row>
    <row r="32" spans="1:10" ht="13.5">
      <c r="A32" s="175"/>
      <c r="D32" s="174"/>
      <c r="E32" s="158"/>
      <c r="G32" s="176"/>
      <c r="J32" s="179"/>
    </row>
    <row r="33" spans="1:10" s="144" customFormat="1" ht="12">
      <c r="A33" s="137"/>
      <c r="B33" s="138"/>
      <c r="C33" s="138" t="s">
        <v>126</v>
      </c>
      <c r="D33" s="139" t="s">
        <v>124</v>
      </c>
      <c r="E33" s="140"/>
      <c r="F33" s="141"/>
      <c r="G33" s="141"/>
      <c r="H33" s="142">
        <f>SUM(H34:H35)</f>
        <v>28673.08</v>
      </c>
      <c r="I33" s="143"/>
      <c r="J33" s="180"/>
    </row>
    <row r="34" spans="1:10" s="218" customFormat="1" ht="36">
      <c r="A34" s="192" t="s">
        <v>94</v>
      </c>
      <c r="B34" s="193" t="s">
        <v>195</v>
      </c>
      <c r="C34" s="219" t="s">
        <v>161</v>
      </c>
      <c r="D34" s="220" t="str">
        <f>COMP_03!B13</f>
        <v>CERCA COM ESTACA DE MADEIRA ROLICA, DIAMETRO 11CM, ESPAÇAMENTO DE 3M, ALTURA LIVRE DE 1.50M, COM MOURÕES DE MADEIRA ROLICA (D = 16 A 19) A CADA 30M, COM 4 FIOS DE ARAME FARPADO Nº 14 CLASSE 250</v>
      </c>
      <c r="E34" s="212" t="s">
        <v>132</v>
      </c>
      <c r="F34" s="221">
        <f>'M. CÁLCULO'!D34</f>
        <v>293</v>
      </c>
      <c r="G34" s="196">
        <f>COMP_03!J55</f>
        <v>30.560000000000002</v>
      </c>
      <c r="H34" s="221">
        <f>F34*G34</f>
        <v>8954.08</v>
      </c>
      <c r="I34" s="222"/>
      <c r="J34" s="217"/>
    </row>
    <row r="35" spans="1:10" s="218" customFormat="1" ht="36">
      <c r="A35" s="192" t="s">
        <v>90</v>
      </c>
      <c r="B35" s="219">
        <v>98510</v>
      </c>
      <c r="C35" s="219" t="s">
        <v>134</v>
      </c>
      <c r="D35" s="220" t="s">
        <v>135</v>
      </c>
      <c r="E35" s="212" t="s">
        <v>130</v>
      </c>
      <c r="F35" s="221">
        <f>'M. CÁLCULO'!D35</f>
        <v>300</v>
      </c>
      <c r="G35" s="196">
        <f>TRUNC(J35*($H$11+1),2)</f>
        <v>65.73</v>
      </c>
      <c r="H35" s="221">
        <f>F35*G35</f>
        <v>19719</v>
      </c>
      <c r="I35" s="222"/>
      <c r="J35" s="217">
        <v>50.45</v>
      </c>
    </row>
    <row r="36" ht="13.5">
      <c r="J36" s="179"/>
    </row>
    <row r="37" spans="1:10" s="144" customFormat="1" ht="12">
      <c r="A37" s="137"/>
      <c r="B37" s="138"/>
      <c r="C37" s="138" t="s">
        <v>162</v>
      </c>
      <c r="D37" s="139" t="s">
        <v>125</v>
      </c>
      <c r="E37" s="140"/>
      <c r="F37" s="141"/>
      <c r="G37" s="141"/>
      <c r="H37" s="142">
        <f>SUM(H38:H39)</f>
        <v>338496.74</v>
      </c>
      <c r="I37" s="143"/>
      <c r="J37" s="180"/>
    </row>
    <row r="38" spans="1:10" s="218" customFormat="1" ht="36">
      <c r="A38" s="192" t="s">
        <v>94</v>
      </c>
      <c r="B38" s="193" t="s">
        <v>195</v>
      </c>
      <c r="C38" s="219" t="s">
        <v>163</v>
      </c>
      <c r="D38" s="220" t="str">
        <f>COMP_03!B13</f>
        <v>CERCA COM ESTACA DE MADEIRA ROLICA, DIAMETRO 11CM, ESPAÇAMENTO DE 3M, ALTURA LIVRE DE 1.50M, COM MOURÕES DE MADEIRA ROLICA (D = 16 A 19) A CADA 30M, COM 4 FIOS DE ARAME FARPADO Nº 14 CLASSE 250</v>
      </c>
      <c r="E38" s="212" t="s">
        <v>132</v>
      </c>
      <c r="F38" s="221">
        <f>'M. CÁLCULO'!D38</f>
        <v>2572</v>
      </c>
      <c r="G38" s="196">
        <f>COMP_03!J55</f>
        <v>30.560000000000002</v>
      </c>
      <c r="H38" s="223">
        <f>F38*G38</f>
        <v>78600.32</v>
      </c>
      <c r="I38" s="222"/>
      <c r="J38" s="217"/>
    </row>
    <row r="39" spans="1:10" s="218" customFormat="1" ht="36">
      <c r="A39" s="192" t="s">
        <v>90</v>
      </c>
      <c r="B39" s="219">
        <v>98510</v>
      </c>
      <c r="C39" s="219" t="s">
        <v>164</v>
      </c>
      <c r="D39" s="220" t="s">
        <v>135</v>
      </c>
      <c r="E39" s="212" t="s">
        <v>130</v>
      </c>
      <c r="F39" s="221">
        <f>'M. CÁLCULO'!D39</f>
        <v>3954</v>
      </c>
      <c r="G39" s="196">
        <f>TRUNC(J39*($H$11+1),2)</f>
        <v>65.73</v>
      </c>
      <c r="H39" s="221">
        <f>F39*G39</f>
        <v>259896.42</v>
      </c>
      <c r="I39" s="222"/>
      <c r="J39" s="217">
        <v>50.45</v>
      </c>
    </row>
    <row r="40" ht="14.25" thickBot="1"/>
    <row r="41" spans="1:8" ht="27" thickBot="1">
      <c r="A41" s="228" t="s">
        <v>6</v>
      </c>
      <c r="B41" s="229"/>
      <c r="C41" s="229"/>
      <c r="D41" s="229"/>
      <c r="E41" s="229"/>
      <c r="F41" s="230"/>
      <c r="G41" s="226">
        <f>H15+H18+H29</f>
        <v>461751.47</v>
      </c>
      <c r="H41" s="227"/>
    </row>
    <row r="44" spans="1:8" ht="13.5">
      <c r="A44" s="245" t="s">
        <v>179</v>
      </c>
      <c r="B44" s="245"/>
      <c r="C44" s="245"/>
      <c r="D44" s="245"/>
      <c r="E44" s="245"/>
      <c r="F44" s="245"/>
      <c r="G44" s="245"/>
      <c r="H44" s="245"/>
    </row>
    <row r="45" spans="1:8" ht="13.5">
      <c r="A45" s="245" t="s">
        <v>180</v>
      </c>
      <c r="B45" s="245"/>
      <c r="C45" s="245"/>
      <c r="D45" s="245"/>
      <c r="E45" s="245"/>
      <c r="F45" s="245"/>
      <c r="G45" s="245"/>
      <c r="H45" s="245"/>
    </row>
    <row r="46" spans="1:8" ht="13.5">
      <c r="A46" s="245" t="s">
        <v>181</v>
      </c>
      <c r="B46" s="245"/>
      <c r="C46" s="245"/>
      <c r="D46" s="245"/>
      <c r="E46" s="245"/>
      <c r="F46" s="245"/>
      <c r="G46" s="245"/>
      <c r="H46" s="245"/>
    </row>
  </sheetData>
  <sheetProtection selectLockedCells="1" selectUnlockedCells="1"/>
  <mergeCells count="13">
    <mergeCell ref="A44:H44"/>
    <mergeCell ref="A45:H45"/>
    <mergeCell ref="A46:H46"/>
    <mergeCell ref="A7:H7"/>
    <mergeCell ref="G41:H41"/>
    <mergeCell ref="A41:F41"/>
    <mergeCell ref="A13:H13"/>
    <mergeCell ref="G12:H12"/>
    <mergeCell ref="G9:H9"/>
    <mergeCell ref="A9:E9"/>
    <mergeCell ref="A10:E10"/>
    <mergeCell ref="A11:E11"/>
    <mergeCell ref="A12:E12"/>
  </mergeCells>
  <printOptions/>
  <pageMargins left="0.5905511811023623" right="0.3937007874015748" top="0.984251968503937" bottom="0.7874015748031497" header="0" footer="0"/>
  <pageSetup horizontalDpi="600" verticalDpi="600" orientation="landscape" paperSize="9" scale="98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44"/>
  <sheetViews>
    <sheetView tabSelected="1" view="pageBreakPreview" zoomScale="110" zoomScaleNormal="110" zoomScaleSheetLayoutView="110" zoomScalePageLayoutView="0" workbookViewId="0" topLeftCell="A22">
      <selection activeCell="D39" activeCellId="1" sqref="D39"/>
    </sheetView>
  </sheetViews>
  <sheetFormatPr defaultColWidth="9.00390625" defaultRowHeight="13.5"/>
  <cols>
    <col min="1" max="1" width="7.875" style="4" customWidth="1"/>
    <col min="2" max="2" width="54.75390625" style="4" customWidth="1"/>
    <col min="3" max="3" width="8.00390625" style="4" customWidth="1"/>
    <col min="4" max="4" width="11.375" style="4" customWidth="1"/>
    <col min="5" max="5" width="12.00390625" style="5" customWidth="1"/>
    <col min="6" max="7" width="15.00390625" style="5" bestFit="1" customWidth="1"/>
    <col min="8" max="8" width="6.00390625" style="7" customWidth="1"/>
    <col min="9" max="9" width="9.00390625" style="120" customWidth="1"/>
    <col min="10" max="16384" width="9.00390625" style="6" customWidth="1"/>
  </cols>
  <sheetData>
    <row r="1" ht="13.5"/>
    <row r="2" ht="13.5"/>
    <row r="3" ht="13.5"/>
    <row r="4" ht="13.5"/>
    <row r="5" ht="13.5"/>
    <row r="6" spans="1:7" ht="31.5">
      <c r="A6" s="246" t="s">
        <v>153</v>
      </c>
      <c r="B6" s="225"/>
      <c r="C6" s="225"/>
      <c r="D6" s="225"/>
      <c r="E6" s="146"/>
      <c r="F6" s="146"/>
      <c r="G6" s="146"/>
    </row>
    <row r="7" spans="6:7" ht="15.75" thickBot="1">
      <c r="F7" s="145"/>
      <c r="G7" s="147"/>
    </row>
    <row r="8" spans="1:8" ht="15">
      <c r="A8" s="235" t="s">
        <v>115</v>
      </c>
      <c r="B8" s="236"/>
      <c r="C8" s="236"/>
      <c r="D8" s="236"/>
      <c r="F8" s="131">
        <v>2</v>
      </c>
      <c r="G8" s="131">
        <v>1.25</v>
      </c>
      <c r="H8">
        <f>F8*G8</f>
        <v>2.5</v>
      </c>
    </row>
    <row r="9" spans="1:8" ht="15">
      <c r="A9" s="238" t="s">
        <v>116</v>
      </c>
      <c r="B9" s="239"/>
      <c r="C9" s="239"/>
      <c r="D9" s="239"/>
      <c r="F9" s="131"/>
      <c r="G9" s="131"/>
      <c r="H9">
        <f>F9*G9</f>
        <v>0</v>
      </c>
    </row>
    <row r="10" spans="1:8" ht="15" customHeight="1" thickBot="1">
      <c r="A10" s="241" t="s">
        <v>117</v>
      </c>
      <c r="B10" s="242"/>
      <c r="C10" s="242"/>
      <c r="D10" s="242"/>
      <c r="F10" s="5">
        <v>3</v>
      </c>
      <c r="G10" s="5">
        <f>0.63+1.25</f>
        <v>1.88</v>
      </c>
      <c r="H10">
        <f>F10*G10</f>
        <v>5.64</v>
      </c>
    </row>
    <row r="11" spans="1:8" ht="15.75" customHeight="1" thickBot="1">
      <c r="A11" s="244"/>
      <c r="B11" s="244"/>
      <c r="C11" s="244"/>
      <c r="D11" s="244"/>
      <c r="F11" s="131">
        <v>4</v>
      </c>
      <c r="G11" s="131">
        <v>2.5</v>
      </c>
      <c r="H11">
        <f>F11*G11</f>
        <v>10</v>
      </c>
    </row>
    <row r="12" spans="1:9" s="13" customFormat="1" ht="14.25" thickBot="1">
      <c r="A12" s="155" t="s">
        <v>2</v>
      </c>
      <c r="B12" s="156" t="s">
        <v>3</v>
      </c>
      <c r="C12" s="156" t="s">
        <v>127</v>
      </c>
      <c r="D12" s="157" t="s">
        <v>128</v>
      </c>
      <c r="E12" s="154"/>
      <c r="F12" s="154"/>
      <c r="G12" s="154"/>
      <c r="H12" s="16"/>
      <c r="I12" s="119"/>
    </row>
    <row r="13" spans="1:4" ht="13.5">
      <c r="A13" s="171">
        <f>ORCAMENTO!C15</f>
        <v>1</v>
      </c>
      <c r="B13" s="172" t="str">
        <f>ORCAMENTO!D15</f>
        <v>COMUNICAÇÃO VISUAL</v>
      </c>
      <c r="C13" s="172"/>
      <c r="D13" s="173"/>
    </row>
    <row r="14" spans="1:4" ht="13.5">
      <c r="A14" s="168" t="str">
        <f>ORCAMENTO!C16</f>
        <v>1.1</v>
      </c>
      <c r="B14" s="169" t="str">
        <f>ORCAMENTO!D16</f>
        <v>PLACA DE OBRA EM CHAPA DE ACO GALVANIZADO</v>
      </c>
      <c r="C14" s="169"/>
      <c r="D14" s="170">
        <f>SUM(D15:D16)</f>
        <v>12.552</v>
      </c>
    </row>
    <row r="15" spans="1:4" ht="13.5">
      <c r="A15" s="191"/>
      <c r="B15" s="4" t="s">
        <v>165</v>
      </c>
      <c r="C15" s="4" t="s">
        <v>129</v>
      </c>
      <c r="D15" s="167">
        <f>3*1.88</f>
        <v>5.64</v>
      </c>
    </row>
    <row r="16" spans="1:4" ht="13.5">
      <c r="A16" s="191"/>
      <c r="B16" s="189" t="s">
        <v>189</v>
      </c>
      <c r="C16" s="4" t="s">
        <v>129</v>
      </c>
      <c r="D16" s="167">
        <f>(0.6*0.96)*12</f>
        <v>6.911999999999999</v>
      </c>
    </row>
    <row r="17" ht="13.5">
      <c r="A17" s="191"/>
    </row>
    <row r="18" spans="1:4" ht="13.5">
      <c r="A18" s="171">
        <f>ORCAMENTO!C18</f>
        <v>2</v>
      </c>
      <c r="B18" s="172" t="str">
        <f>ORCAMENTO!D18</f>
        <v>CONSERVAÇÃO DE ÁGUA E SOLO E PRÁTICAS MECÂNICAS</v>
      </c>
      <c r="C18" s="172"/>
      <c r="D18" s="173"/>
    </row>
    <row r="19" spans="1:4" ht="13.5">
      <c r="A19" s="168" t="str">
        <f>ORCAMENTO!C19</f>
        <v>2.1</v>
      </c>
      <c r="B19" s="169" t="str">
        <f>ORCAMENTO!D19</f>
        <v>CAIXA SECA</v>
      </c>
      <c r="C19" s="169"/>
      <c r="D19" s="170"/>
    </row>
    <row r="20" spans="1:4" ht="13.5">
      <c r="A20" s="203" t="str">
        <f>ORCAMENTO!C20</f>
        <v>2.1.1</v>
      </c>
      <c r="B20" s="189" t="s">
        <v>147</v>
      </c>
      <c r="C20" s="189" t="s">
        <v>148</v>
      </c>
      <c r="D20" s="189">
        <f>(2.55*2*2)</f>
        <v>10.2</v>
      </c>
    </row>
    <row r="21" spans="1:4" ht="13.5">
      <c r="A21" s="203" t="str">
        <f>ORCAMENTO!C21</f>
        <v>2.1.2</v>
      </c>
      <c r="B21" s="189" t="s">
        <v>191</v>
      </c>
      <c r="C21" s="189" t="s">
        <v>143</v>
      </c>
      <c r="D21" s="189">
        <f>118.38+30+195.5+103.25+231.25</f>
        <v>678.38</v>
      </c>
    </row>
    <row r="22" ht="13.5">
      <c r="A22" s="191"/>
    </row>
    <row r="23" spans="1:4" ht="13.5">
      <c r="A23" s="168" t="str">
        <f>ORCAMENTO!C23</f>
        <v>2.2</v>
      </c>
      <c r="B23" s="169" t="str">
        <f>ORCAMENTO!D23</f>
        <v>BARRAGINHA</v>
      </c>
      <c r="C23" s="169"/>
      <c r="D23" s="170"/>
    </row>
    <row r="24" spans="1:4" ht="13.5">
      <c r="A24" s="203" t="str">
        <f>ORCAMENTO!C24</f>
        <v>2.2.1</v>
      </c>
      <c r="B24" s="189" t="s">
        <v>192</v>
      </c>
      <c r="C24" s="189" t="s">
        <v>143</v>
      </c>
      <c r="D24" s="204">
        <f>773.67+466+210+1342.38+177.822+290+3145</f>
        <v>6404.872</v>
      </c>
    </row>
    <row r="25" ht="13.5">
      <c r="A25" s="191"/>
    </row>
    <row r="26" spans="1:4" ht="13.5">
      <c r="A26" s="168" t="s">
        <v>185</v>
      </c>
      <c r="B26" s="169" t="s">
        <v>186</v>
      </c>
      <c r="C26" s="169"/>
      <c r="D26" s="170"/>
    </row>
    <row r="27" spans="1:4" ht="13.5">
      <c r="A27" s="203" t="s">
        <v>187</v>
      </c>
      <c r="B27" s="205">
        <v>180</v>
      </c>
      <c r="C27" s="189" t="s">
        <v>143</v>
      </c>
      <c r="D27" s="204">
        <v>180</v>
      </c>
    </row>
    <row r="28" ht="13.5">
      <c r="A28" s="191"/>
    </row>
    <row r="29" spans="1:4" ht="13.5">
      <c r="A29" s="171">
        <f>ORCAMENTO!C29</f>
        <v>3</v>
      </c>
      <c r="B29" s="172" t="str">
        <f>ORCAMENTO!D29</f>
        <v>CONSERVAÇÃO DE ÁGUA E SOLO, RECOMPOSIÇÃO DE VEGETAÇÃO E CERCAMENTO</v>
      </c>
      <c r="C29" s="172"/>
      <c r="D29" s="173"/>
    </row>
    <row r="30" spans="1:4" ht="13.5">
      <c r="A30" s="168" t="str">
        <f>ORCAMENTO!C30</f>
        <v>3.1</v>
      </c>
      <c r="B30" s="169" t="str">
        <f>ORCAMENTO!D30</f>
        <v>REGENERAÇÃO NATURAL</v>
      </c>
      <c r="C30" s="169"/>
      <c r="D30" s="170"/>
    </row>
    <row r="31" spans="1:4" ht="13.5">
      <c r="A31" s="191" t="str">
        <f>ORCAMENTO!C31</f>
        <v>3.1.1</v>
      </c>
      <c r="B31" s="187" t="s">
        <v>190</v>
      </c>
      <c r="C31" s="4" t="s">
        <v>145</v>
      </c>
      <c r="D31" s="4">
        <f>850+187+1257</f>
        <v>2294</v>
      </c>
    </row>
    <row r="32" ht="13.5">
      <c r="A32" s="191"/>
    </row>
    <row r="33" spans="1:4" ht="13.5">
      <c r="A33" s="168" t="str">
        <f>ORCAMENTO!C33</f>
        <v>3.2</v>
      </c>
      <c r="B33" s="169" t="str">
        <f>ORCAMENTO!D33</f>
        <v>RECUPERAÇÃO COM PLANTIO</v>
      </c>
      <c r="C33" s="169"/>
      <c r="D33" s="170"/>
    </row>
    <row r="34" spans="1:4" ht="13.5">
      <c r="A34" s="191" t="str">
        <f>ORCAMENTO!C34</f>
        <v>3.2.1</v>
      </c>
      <c r="B34" s="187">
        <v>293</v>
      </c>
      <c r="C34" s="4" t="s">
        <v>145</v>
      </c>
      <c r="D34" s="4">
        <f>293</f>
        <v>293</v>
      </c>
    </row>
    <row r="35" spans="1:4" ht="13.5">
      <c r="A35" s="191" t="str">
        <f>ORCAMENTO!C35</f>
        <v>3.2.2</v>
      </c>
      <c r="B35" s="187">
        <v>300</v>
      </c>
      <c r="C35" s="4" t="s">
        <v>146</v>
      </c>
      <c r="D35" s="4">
        <f>B35</f>
        <v>300</v>
      </c>
    </row>
    <row r="36" ht="13.5">
      <c r="A36" s="191"/>
    </row>
    <row r="37" spans="1:4" ht="13.5">
      <c r="A37" s="168" t="str">
        <f>ORCAMENTO!C37</f>
        <v>3.3</v>
      </c>
      <c r="B37" s="169" t="str">
        <f>ORCAMENTO!D37</f>
        <v>SISTEMA AGROFLORESTAL - SAF</v>
      </c>
      <c r="C37" s="169"/>
      <c r="D37" s="170"/>
    </row>
    <row r="38" spans="1:4" ht="13.5">
      <c r="A38" s="191" t="str">
        <f>ORCAMENTO!C38</f>
        <v>3.3.1</v>
      </c>
      <c r="B38" s="4" t="s">
        <v>197</v>
      </c>
      <c r="C38" s="4" t="s">
        <v>145</v>
      </c>
      <c r="D38" s="4">
        <f>330+86+441+187+326+341+542+319</f>
        <v>2572</v>
      </c>
    </row>
    <row r="39" spans="1:4" ht="13.5">
      <c r="A39" s="191" t="str">
        <f>ORCAMENTO!C39</f>
        <v>3.3.2</v>
      </c>
      <c r="B39" s="4" t="s">
        <v>196</v>
      </c>
      <c r="C39" s="4" t="s">
        <v>146</v>
      </c>
      <c r="D39" s="188">
        <f>611+56+1333+241+381+329+885+118</f>
        <v>3954</v>
      </c>
    </row>
    <row r="42" spans="1:4" ht="13.5">
      <c r="A42" s="245" t="s">
        <v>179</v>
      </c>
      <c r="B42" s="245"/>
      <c r="C42" s="245"/>
      <c r="D42" s="245"/>
    </row>
    <row r="43" spans="1:4" ht="13.5">
      <c r="A43" s="245" t="s">
        <v>180</v>
      </c>
      <c r="B43" s="245"/>
      <c r="C43" s="245"/>
      <c r="D43" s="245"/>
    </row>
    <row r="44" spans="1:4" ht="13.5">
      <c r="A44" s="245" t="s">
        <v>181</v>
      </c>
      <c r="B44" s="245"/>
      <c r="C44" s="245"/>
      <c r="D44" s="245"/>
    </row>
  </sheetData>
  <sheetProtection selectLockedCells="1" selectUnlockedCells="1"/>
  <mergeCells count="8">
    <mergeCell ref="A43:D43"/>
    <mergeCell ref="A44:D44"/>
    <mergeCell ref="A6:D6"/>
    <mergeCell ref="A8:D8"/>
    <mergeCell ref="A9:D9"/>
    <mergeCell ref="A10:D10"/>
    <mergeCell ref="A11:D11"/>
    <mergeCell ref="A42:D42"/>
  </mergeCells>
  <printOptions/>
  <pageMargins left="0.5905511811023623" right="0.3937007874015748" top="0.7874015748031497" bottom="0.7874015748031497" header="0" footer="0"/>
  <pageSetup horizontalDpi="600" verticalDpi="600" orientation="portrait" paperSize="9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30"/>
  <sheetViews>
    <sheetView view="pageBreakPreview" zoomScaleSheetLayoutView="100" zoomScalePageLayoutView="0" workbookViewId="0" topLeftCell="A7">
      <selection activeCell="M21" sqref="M21"/>
    </sheetView>
  </sheetViews>
  <sheetFormatPr defaultColWidth="9.00390625" defaultRowHeight="13.5"/>
  <cols>
    <col min="1" max="1" width="4.00390625" style="23" bestFit="1" customWidth="1"/>
    <col min="2" max="2" width="7.00390625" style="23" customWidth="1"/>
    <col min="3" max="3" width="27.875" style="23" customWidth="1"/>
    <col min="4" max="4" width="9.75390625" style="46" bestFit="1" customWidth="1"/>
    <col min="5" max="5" width="7.125" style="47" bestFit="1" customWidth="1"/>
    <col min="6" max="12" width="9.125" style="23" customWidth="1"/>
    <col min="13" max="13" width="9.00390625" style="23" customWidth="1"/>
    <col min="14" max="14" width="9.375" style="23" bestFit="1" customWidth="1"/>
    <col min="15" max="16384" width="9.00390625" style="23" customWidth="1"/>
  </cols>
  <sheetData>
    <row r="1" ht="13.5"/>
    <row r="2" ht="13.5"/>
    <row r="3" ht="13.5"/>
    <row r="4" ht="13.5"/>
    <row r="5" ht="13.5"/>
    <row r="6" spans="1:12" ht="31.5">
      <c r="A6" s="225" t="s">
        <v>154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ht="14.25" thickBot="1"/>
    <row r="8" spans="1:12" ht="15">
      <c r="A8" s="235" t="s">
        <v>107</v>
      </c>
      <c r="B8" s="236"/>
      <c r="C8" s="236"/>
      <c r="D8" s="236"/>
      <c r="E8" s="236"/>
      <c r="F8" s="236"/>
      <c r="G8" s="236"/>
      <c r="H8" s="236"/>
      <c r="I8" s="236"/>
      <c r="J8" s="237"/>
      <c r="K8" s="131"/>
      <c r="L8" s="131"/>
    </row>
    <row r="9" spans="1:12" ht="15">
      <c r="A9" s="238" t="s">
        <v>110</v>
      </c>
      <c r="B9" s="239"/>
      <c r="C9" s="239"/>
      <c r="D9" s="239"/>
      <c r="E9" s="239"/>
      <c r="F9" s="239"/>
      <c r="G9" s="239"/>
      <c r="H9" s="239"/>
      <c r="I9" s="239"/>
      <c r="J9" s="240"/>
      <c r="K9" s="131"/>
      <c r="L9" s="131"/>
    </row>
    <row r="10" spans="1:12" ht="15" customHeight="1">
      <c r="A10" s="238" t="s">
        <v>112</v>
      </c>
      <c r="B10" s="239"/>
      <c r="C10" s="239"/>
      <c r="D10" s="239"/>
      <c r="E10" s="239"/>
      <c r="F10" s="239"/>
      <c r="G10" s="239"/>
      <c r="H10" s="239"/>
      <c r="I10" s="239"/>
      <c r="J10" s="240"/>
      <c r="K10" s="131"/>
      <c r="L10" s="131"/>
    </row>
    <row r="11" spans="1:12" ht="15" customHeight="1">
      <c r="A11" s="264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</row>
    <row r="12" spans="1:12" ht="1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</row>
    <row r="13" spans="1:12" ht="13.5" customHeight="1">
      <c r="A13" s="24" t="s">
        <v>2</v>
      </c>
      <c r="B13" s="255" t="s">
        <v>11</v>
      </c>
      <c r="C13" s="256"/>
      <c r="D13" s="250" t="s">
        <v>12</v>
      </c>
      <c r="E13" s="250"/>
      <c r="F13" s="25" t="s">
        <v>137</v>
      </c>
      <c r="G13" s="25" t="s">
        <v>138</v>
      </c>
      <c r="H13" s="25" t="s">
        <v>139</v>
      </c>
      <c r="I13" s="25" t="s">
        <v>140</v>
      </c>
      <c r="J13" s="25" t="s">
        <v>141</v>
      </c>
      <c r="K13" s="25" t="s">
        <v>142</v>
      </c>
      <c r="L13" s="26" t="s">
        <v>6</v>
      </c>
    </row>
    <row r="14" spans="1:12" s="28" customFormat="1" ht="13.5" customHeight="1">
      <c r="A14" s="251" t="s">
        <v>149</v>
      </c>
      <c r="B14" s="268" t="str">
        <f>ORCAMENTO!D15</f>
        <v>COMUNICAÇÃO VISUAL</v>
      </c>
      <c r="C14" s="269"/>
      <c r="D14" s="253">
        <f>ORCAMENTO!H15</f>
        <v>4127.22</v>
      </c>
      <c r="E14" s="263">
        <f>D14/$D$18</f>
        <v>0.009438511455711365</v>
      </c>
      <c r="F14" s="27">
        <v>1</v>
      </c>
      <c r="G14" s="27"/>
      <c r="H14" s="27"/>
      <c r="I14" s="27"/>
      <c r="J14" s="27"/>
      <c r="K14" s="27"/>
      <c r="L14" s="27">
        <f aca="true" t="shared" si="0" ref="L14:L19">SUM(F14:K14)</f>
        <v>1</v>
      </c>
    </row>
    <row r="15" spans="1:12" s="28" customFormat="1" ht="13.5" customHeight="1">
      <c r="A15" s="252"/>
      <c r="B15" s="270"/>
      <c r="C15" s="271"/>
      <c r="D15" s="254"/>
      <c r="E15" s="263"/>
      <c r="F15" s="29">
        <f aca="true" t="shared" si="1" ref="F15:K15">$D$14*F14</f>
        <v>4127.22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0"/>
        <v>4127.22</v>
      </c>
    </row>
    <row r="16" spans="1:12" s="28" customFormat="1" ht="13.5" customHeight="1">
      <c r="A16" s="251" t="s">
        <v>136</v>
      </c>
      <c r="B16" s="257" t="str">
        <f>ORCAMENTO!D18</f>
        <v>CONSERVAÇÃO DE ÁGUA E SOLO E PRÁTICAS MECÂNICAS</v>
      </c>
      <c r="C16" s="258"/>
      <c r="D16" s="253">
        <f>ORCAMENTO!H18</f>
        <v>20349.789999999997</v>
      </c>
      <c r="E16" s="263">
        <f>D16/$D$18</f>
        <v>0.046537796879332946</v>
      </c>
      <c r="F16" s="27">
        <v>0.3</v>
      </c>
      <c r="G16" s="27">
        <v>0.3</v>
      </c>
      <c r="H16" s="27">
        <v>0.4</v>
      </c>
      <c r="I16" s="27"/>
      <c r="J16" s="27"/>
      <c r="K16" s="27"/>
      <c r="L16" s="27">
        <f t="shared" si="0"/>
        <v>1</v>
      </c>
    </row>
    <row r="17" spans="1:12" s="28" customFormat="1" ht="13.5" customHeight="1">
      <c r="A17" s="252"/>
      <c r="B17" s="259"/>
      <c r="C17" s="260"/>
      <c r="D17" s="254"/>
      <c r="E17" s="263"/>
      <c r="F17" s="29">
        <f aca="true" t="shared" si="2" ref="F17:K17">$D$16*F16</f>
        <v>6104.936999999999</v>
      </c>
      <c r="G17" s="29">
        <f t="shared" si="2"/>
        <v>6104.936999999999</v>
      </c>
      <c r="H17" s="29">
        <f t="shared" si="2"/>
        <v>8139.915999999999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0"/>
        <v>20349.789999999997</v>
      </c>
    </row>
    <row r="18" spans="1:12" s="28" customFormat="1" ht="13.5" customHeight="1">
      <c r="A18" s="247">
        <v>3</v>
      </c>
      <c r="B18" s="272" t="str">
        <f>ORCAMENTO!D29</f>
        <v>CONSERVAÇÃO DE ÁGUA E SOLO, RECOMPOSIÇÃO DE VEGETAÇÃO E CERCAMENTO</v>
      </c>
      <c r="C18" s="272"/>
      <c r="D18" s="261">
        <f>ORCAMENTO!H29</f>
        <v>437274.45999999996</v>
      </c>
      <c r="E18" s="262">
        <f>SUM(E14:E17)</f>
        <v>0.055976308335044314</v>
      </c>
      <c r="F18" s="27">
        <v>0.17</v>
      </c>
      <c r="G18" s="27">
        <v>0.18</v>
      </c>
      <c r="H18" s="27">
        <v>0.18</v>
      </c>
      <c r="I18" s="27">
        <v>0.18</v>
      </c>
      <c r="J18" s="27">
        <v>0.18</v>
      </c>
      <c r="K18" s="27">
        <v>0.11</v>
      </c>
      <c r="L18" s="27">
        <f t="shared" si="0"/>
        <v>0.9999999999999999</v>
      </c>
    </row>
    <row r="19" spans="1:12" s="28" customFormat="1" ht="12">
      <c r="A19" s="248"/>
      <c r="B19" s="272"/>
      <c r="C19" s="272"/>
      <c r="D19" s="261"/>
      <c r="E19" s="262"/>
      <c r="F19" s="29">
        <f aca="true" t="shared" si="3" ref="F19:K19">$D$18*F18</f>
        <v>74336.6582</v>
      </c>
      <c r="G19" s="29">
        <f t="shared" si="3"/>
        <v>78709.4028</v>
      </c>
      <c r="H19" s="29">
        <f t="shared" si="3"/>
        <v>78709.4028</v>
      </c>
      <c r="I19" s="29">
        <f t="shared" si="3"/>
        <v>78709.4028</v>
      </c>
      <c r="J19" s="29">
        <f t="shared" si="3"/>
        <v>78709.4028</v>
      </c>
      <c r="K19" s="29">
        <f t="shared" si="3"/>
        <v>48100.190599999994</v>
      </c>
      <c r="L19" s="29">
        <f t="shared" si="0"/>
        <v>437274.4599999999</v>
      </c>
    </row>
    <row r="20" spans="1:12" s="28" customFormat="1" ht="13.5" customHeight="1">
      <c r="A20" s="32"/>
      <c r="B20" s="181"/>
      <c r="C20" s="181"/>
      <c r="D20" s="182"/>
      <c r="E20" s="183"/>
      <c r="F20" s="30"/>
      <c r="G20" s="30"/>
      <c r="H20" s="30"/>
      <c r="I20" s="30"/>
      <c r="J20" s="30"/>
      <c r="K20" s="30"/>
      <c r="L20" s="31"/>
    </row>
    <row r="21" spans="1:12" s="185" customFormat="1" ht="13.5" customHeight="1">
      <c r="A21" s="266" t="s">
        <v>6</v>
      </c>
      <c r="B21" s="267"/>
      <c r="C21" s="267"/>
      <c r="D21" s="182">
        <f>SUM(D14:D19)</f>
        <v>461751.47</v>
      </c>
      <c r="E21" s="184">
        <f>SUM(E14:E19)</f>
        <v>0.11195261667008863</v>
      </c>
      <c r="F21" s="186">
        <f aca="true" t="shared" si="4" ref="F21:L21">F15+F17+F19</f>
        <v>84568.81520000001</v>
      </c>
      <c r="G21" s="186">
        <f t="shared" si="4"/>
        <v>84814.3398</v>
      </c>
      <c r="H21" s="186">
        <f t="shared" si="4"/>
        <v>86849.3188</v>
      </c>
      <c r="I21" s="186">
        <f t="shared" si="4"/>
        <v>78709.4028</v>
      </c>
      <c r="J21" s="186">
        <f t="shared" si="4"/>
        <v>78709.4028</v>
      </c>
      <c r="K21" s="186">
        <f t="shared" si="4"/>
        <v>48100.190599999994</v>
      </c>
      <c r="L21" s="186">
        <f t="shared" si="4"/>
        <v>461751.4699999999</v>
      </c>
    </row>
    <row r="22" spans="1:12" s="28" customFormat="1" ht="13.5" customHeight="1">
      <c r="A22" s="32"/>
      <c r="B22" s="33"/>
      <c r="C22" s="33"/>
      <c r="D22" s="34"/>
      <c r="E22" s="35"/>
      <c r="F22" s="36">
        <f aca="true" t="shared" si="5" ref="F22:K22">F23/$D$18</f>
        <v>0.19339985051951128</v>
      </c>
      <c r="G22" s="36">
        <f t="shared" si="5"/>
        <v>0.1939613390637999</v>
      </c>
      <c r="H22" s="36">
        <f t="shared" si="5"/>
        <v>0.19861511875173318</v>
      </c>
      <c r="I22" s="36">
        <f t="shared" si="5"/>
        <v>0.18</v>
      </c>
      <c r="J22" s="36">
        <f t="shared" si="5"/>
        <v>0.18</v>
      </c>
      <c r="K22" s="36">
        <f t="shared" si="5"/>
        <v>0.11</v>
      </c>
      <c r="L22" s="37"/>
    </row>
    <row r="23" spans="1:12" s="28" customFormat="1" ht="13.5" customHeight="1">
      <c r="A23" s="38"/>
      <c r="B23" s="39"/>
      <c r="C23" s="39"/>
      <c r="D23" s="249" t="s">
        <v>150</v>
      </c>
      <c r="E23" s="249"/>
      <c r="F23" s="41">
        <f aca="true" t="shared" si="6" ref="F23:K23">F15+F17+F19</f>
        <v>84568.81520000001</v>
      </c>
      <c r="G23" s="41">
        <f t="shared" si="6"/>
        <v>84814.3398</v>
      </c>
      <c r="H23" s="41">
        <f t="shared" si="6"/>
        <v>86849.3188</v>
      </c>
      <c r="I23" s="41">
        <f t="shared" si="6"/>
        <v>78709.4028</v>
      </c>
      <c r="J23" s="41">
        <f t="shared" si="6"/>
        <v>78709.4028</v>
      </c>
      <c r="K23" s="41">
        <f t="shared" si="6"/>
        <v>48100.190599999994</v>
      </c>
      <c r="L23" s="41"/>
    </row>
    <row r="24" spans="1:12" s="28" customFormat="1" ht="13.5" customHeight="1">
      <c r="A24" s="38"/>
      <c r="B24" s="39"/>
      <c r="C24" s="39"/>
      <c r="D24" s="42"/>
      <c r="E24" s="40"/>
      <c r="F24" s="36">
        <f aca="true" t="shared" si="7" ref="F24:K24">F25/$D$18</f>
        <v>0.19339985051951128</v>
      </c>
      <c r="G24" s="36">
        <f t="shared" si="7"/>
        <v>0.3873611895833112</v>
      </c>
      <c r="H24" s="36">
        <f t="shared" si="7"/>
        <v>0.5859763083350444</v>
      </c>
      <c r="I24" s="36">
        <f t="shared" si="7"/>
        <v>0.7659763083350444</v>
      </c>
      <c r="J24" s="36">
        <f t="shared" si="7"/>
        <v>0.9459763083350444</v>
      </c>
      <c r="K24" s="36">
        <f t="shared" si="7"/>
        <v>1.0559763083350444</v>
      </c>
      <c r="L24" s="43"/>
    </row>
    <row r="25" spans="1:12" s="28" customFormat="1" ht="13.5" customHeight="1">
      <c r="A25" s="44"/>
      <c r="B25" s="45"/>
      <c r="C25" s="45"/>
      <c r="D25" s="249" t="s">
        <v>151</v>
      </c>
      <c r="E25" s="249"/>
      <c r="F25" s="41">
        <f>F23</f>
        <v>84568.81520000001</v>
      </c>
      <c r="G25" s="41">
        <f>F25+G23</f>
        <v>169383.15500000003</v>
      </c>
      <c r="H25" s="41">
        <f>G25+H23</f>
        <v>256232.47380000004</v>
      </c>
      <c r="I25" s="41">
        <f>H25+I23</f>
        <v>334941.8766</v>
      </c>
      <c r="J25" s="41">
        <f>I25+J23</f>
        <v>413651.2794</v>
      </c>
      <c r="K25" s="41">
        <f>J25+K23</f>
        <v>461751.47</v>
      </c>
      <c r="L25" s="43"/>
    </row>
    <row r="28" spans="1:12" ht="12">
      <c r="A28" s="245" t="s">
        <v>179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</row>
    <row r="29" spans="1:12" ht="12">
      <c r="A29" s="245" t="s">
        <v>180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</row>
    <row r="30" spans="1:12" ht="12">
      <c r="A30" s="245" t="s">
        <v>181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</row>
  </sheetData>
  <sheetProtection/>
  <mergeCells count="25">
    <mergeCell ref="A6:L6"/>
    <mergeCell ref="A11:L11"/>
    <mergeCell ref="A8:J8"/>
    <mergeCell ref="A9:J9"/>
    <mergeCell ref="A10:J10"/>
    <mergeCell ref="A21:C21"/>
    <mergeCell ref="B14:C15"/>
    <mergeCell ref="B18:C19"/>
    <mergeCell ref="D18:D19"/>
    <mergeCell ref="E18:E19"/>
    <mergeCell ref="E16:E17"/>
    <mergeCell ref="A14:A15"/>
    <mergeCell ref="D14:D15"/>
    <mergeCell ref="A30:L30"/>
    <mergeCell ref="E14:E15"/>
    <mergeCell ref="A18:A19"/>
    <mergeCell ref="D23:E23"/>
    <mergeCell ref="A28:L28"/>
    <mergeCell ref="D25:E25"/>
    <mergeCell ref="A29:L29"/>
    <mergeCell ref="D13:E13"/>
    <mergeCell ref="A16:A17"/>
    <mergeCell ref="D16:D17"/>
    <mergeCell ref="B13:C13"/>
    <mergeCell ref="B16:C17"/>
  </mergeCells>
  <printOptions/>
  <pageMargins left="0.7874015748031497" right="0.1968503937007874" top="0.984251968503937" bottom="0.7874015748031497" header="0" footer="0"/>
  <pageSetup horizontalDpi="600" verticalDpi="600" orientation="landscape" paperSize="9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55"/>
  <sheetViews>
    <sheetView showGridLines="0" view="pageBreakPreview" zoomScaleSheetLayoutView="100" zoomScalePageLayoutView="0" workbookViewId="0" topLeftCell="A1">
      <selection activeCell="A6" sqref="A6:IV6"/>
    </sheetView>
  </sheetViews>
  <sheetFormatPr defaultColWidth="9.00390625" defaultRowHeight="13.5"/>
  <cols>
    <col min="1" max="1" width="8.375" style="50" bestFit="1" customWidth="1"/>
    <col min="2" max="2" width="53.125" style="50" customWidth="1"/>
    <col min="3" max="3" width="7.25390625" style="76" customWidth="1"/>
    <col min="4" max="4" width="7.125" style="96" customWidth="1"/>
    <col min="5" max="5" width="8.125" style="84" customWidth="1"/>
    <col min="6" max="6" width="3.50390625" style="50" customWidth="1"/>
    <col min="7" max="7" width="43.375" style="50" customWidth="1"/>
    <col min="8" max="9" width="9.00390625" style="50" customWidth="1"/>
    <col min="10" max="10" width="4.25390625" style="50" customWidth="1"/>
    <col min="11" max="16384" width="9.00390625" style="50" customWidth="1"/>
  </cols>
  <sheetData>
    <row r="1" ht="13.5">
      <c r="E1" s="151"/>
    </row>
    <row r="2" ht="13.5">
      <c r="E2" s="151"/>
    </row>
    <row r="3" ht="13.5">
      <c r="E3" s="151"/>
    </row>
    <row r="4" ht="13.5">
      <c r="E4" s="151"/>
    </row>
    <row r="5" ht="13.5">
      <c r="E5" s="151"/>
    </row>
    <row r="6" ht="13.5">
      <c r="E6" s="151"/>
    </row>
    <row r="7" ht="14.25" thickBot="1">
      <c r="E7" s="151"/>
    </row>
    <row r="8" spans="1:7" ht="32.25" thickBot="1">
      <c r="A8" s="280" t="s">
        <v>155</v>
      </c>
      <c r="B8" s="281"/>
      <c r="C8" s="281"/>
      <c r="D8" s="282"/>
      <c r="E8" s="152"/>
      <c r="F8" s="146"/>
      <c r="G8" s="146"/>
    </row>
    <row r="9" spans="5:8" ht="15">
      <c r="E9" s="151"/>
      <c r="F9" s="5"/>
      <c r="G9" s="136"/>
      <c r="H9" s="147"/>
    </row>
    <row r="10" spans="1:8" ht="15">
      <c r="A10" s="283" t="s">
        <v>115</v>
      </c>
      <c r="B10" s="283"/>
      <c r="C10" s="283"/>
      <c r="D10" s="283"/>
      <c r="E10" s="131"/>
      <c r="F10" s="5"/>
      <c r="G10" s="285"/>
      <c r="H10" s="285"/>
    </row>
    <row r="11" spans="1:8" ht="15">
      <c r="A11" s="239" t="s">
        <v>116</v>
      </c>
      <c r="B11" s="239"/>
      <c r="C11" s="239"/>
      <c r="D11" s="239"/>
      <c r="E11" s="153"/>
      <c r="F11" s="5"/>
      <c r="G11" s="136"/>
      <c r="H11" s="148"/>
    </row>
    <row r="12" spans="1:8" ht="15" customHeight="1">
      <c r="A12" s="239" t="s">
        <v>117</v>
      </c>
      <c r="B12" s="239"/>
      <c r="C12" s="239"/>
      <c r="D12" s="239"/>
      <c r="E12" s="153"/>
      <c r="F12" s="5"/>
      <c r="G12" s="136"/>
      <c r="H12" s="148"/>
    </row>
    <row r="13" spans="1:8" ht="15.75" customHeight="1">
      <c r="A13" s="244"/>
      <c r="B13" s="244"/>
      <c r="C13" s="244"/>
      <c r="D13" s="244"/>
      <c r="E13" s="244"/>
      <c r="F13" s="5"/>
      <c r="G13" s="285"/>
      <c r="H13" s="285"/>
    </row>
    <row r="14" ht="12" hidden="1"/>
    <row r="15" spans="1:10" ht="13.5" customHeight="1" hidden="1">
      <c r="A15" s="289" t="s">
        <v>13</v>
      </c>
      <c r="B15" s="289"/>
      <c r="C15" s="289"/>
      <c r="D15" s="289"/>
      <c r="E15" s="55"/>
      <c r="F15" s="149"/>
      <c r="G15" s="48" t="s">
        <v>14</v>
      </c>
      <c r="H15" s="48"/>
      <c r="I15" s="48"/>
      <c r="J15" s="49"/>
    </row>
    <row r="16" spans="1:10" ht="13.5" customHeight="1" hidden="1">
      <c r="A16" s="51"/>
      <c r="B16" s="51"/>
      <c r="C16" s="51"/>
      <c r="D16" s="51"/>
      <c r="E16" s="51"/>
      <c r="F16" s="52"/>
      <c r="G16" s="52"/>
      <c r="H16" s="52"/>
      <c r="I16" s="52"/>
      <c r="J16" s="53"/>
    </row>
    <row r="17" spans="1:10" s="58" customFormat="1" ht="13.5" customHeight="1" hidden="1">
      <c r="A17" s="54"/>
      <c r="B17" s="54"/>
      <c r="C17" s="54"/>
      <c r="D17" s="54"/>
      <c r="E17" s="55"/>
      <c r="F17" s="150"/>
      <c r="G17" s="56"/>
      <c r="H17" s="56"/>
      <c r="I17" s="56"/>
      <c r="J17" s="57"/>
    </row>
    <row r="18" spans="1:10" s="58" customFormat="1" ht="12" hidden="1">
      <c r="A18" s="59" t="s">
        <v>15</v>
      </c>
      <c r="B18" s="300" t="str">
        <f>ORCAMENTO!A10</f>
        <v>OBJETO: CONSERVAÇÃO DE ÁGUA E SOLO</v>
      </c>
      <c r="C18" s="300"/>
      <c r="D18" s="300"/>
      <c r="E18" s="51"/>
      <c r="F18" s="52"/>
      <c r="G18" s="304" t="s">
        <v>16</v>
      </c>
      <c r="H18" s="304"/>
      <c r="I18" s="304"/>
      <c r="J18" s="57"/>
    </row>
    <row r="19" spans="1:10" s="58" customFormat="1" ht="12" hidden="1">
      <c r="A19" s="59"/>
      <c r="B19" s="300"/>
      <c r="C19" s="300"/>
      <c r="D19" s="300"/>
      <c r="E19" s="51"/>
      <c r="F19" s="52"/>
      <c r="G19" s="60"/>
      <c r="H19" s="60"/>
      <c r="I19" s="60"/>
      <c r="J19" s="57"/>
    </row>
    <row r="20" spans="1:10" s="63" customFormat="1" ht="13.5" customHeight="1" hidden="1">
      <c r="A20" s="61" t="s">
        <v>17</v>
      </c>
      <c r="B20" s="288" t="str">
        <f>ORCAMENTO!A9</f>
        <v>COTRATO DE REPASSE: 858709/2017/MMA/CAIXA CONVÊNIO:  858709/2017 PROPOSTA: 093373/2017</v>
      </c>
      <c r="C20" s="288"/>
      <c r="D20" s="288"/>
      <c r="E20" s="51"/>
      <c r="F20" s="52"/>
      <c r="G20" s="290" t="s">
        <v>18</v>
      </c>
      <c r="H20" s="290"/>
      <c r="I20" s="290"/>
      <c r="J20" s="62"/>
    </row>
    <row r="21" spans="1:10" s="63" customFormat="1" ht="13.5" customHeight="1" hidden="1">
      <c r="A21" s="64"/>
      <c r="B21" s="65"/>
      <c r="C21" s="66"/>
      <c r="D21" s="67"/>
      <c r="E21" s="51"/>
      <c r="F21" s="52"/>
      <c r="G21" s="290"/>
      <c r="H21" s="290"/>
      <c r="I21" s="290"/>
      <c r="J21" s="62"/>
    </row>
    <row r="22" spans="1:10" s="63" customFormat="1" ht="13.5" customHeight="1">
      <c r="A22" s="284" t="s">
        <v>19</v>
      </c>
      <c r="B22" s="284"/>
      <c r="C22" s="284"/>
      <c r="D22" s="284"/>
      <c r="E22" s="51"/>
      <c r="F22" s="52"/>
      <c r="G22" s="290"/>
      <c r="H22" s="290"/>
      <c r="I22" s="290"/>
      <c r="J22" s="62"/>
    </row>
    <row r="23" spans="1:10" s="63" customFormat="1" ht="13.5" customHeight="1">
      <c r="A23" s="50"/>
      <c r="B23" s="273" t="s">
        <v>20</v>
      </c>
      <c r="C23" s="273"/>
      <c r="D23" s="273"/>
      <c r="E23" s="51"/>
      <c r="F23" s="52"/>
      <c r="G23" s="298" t="s">
        <v>21</v>
      </c>
      <c r="H23" s="286" t="s">
        <v>22</v>
      </c>
      <c r="I23" s="287"/>
      <c r="J23" s="62"/>
    </row>
    <row r="24" spans="1:10" s="73" customFormat="1" ht="13.5" customHeight="1">
      <c r="A24" s="50"/>
      <c r="B24" s="68"/>
      <c r="C24" s="69"/>
      <c r="D24" s="70"/>
      <c r="E24" s="51"/>
      <c r="F24" s="52"/>
      <c r="G24" s="299"/>
      <c r="H24" s="71" t="s">
        <v>23</v>
      </c>
      <c r="I24" s="71" t="s">
        <v>24</v>
      </c>
      <c r="J24" s="72"/>
    </row>
    <row r="25" spans="1:10" ht="13.5" customHeight="1">
      <c r="A25" s="284" t="s">
        <v>25</v>
      </c>
      <c r="B25" s="284"/>
      <c r="C25" s="284"/>
      <c r="D25" s="284"/>
      <c r="F25" s="84"/>
      <c r="G25" s="74" t="s">
        <v>26</v>
      </c>
      <c r="H25" s="75">
        <v>20.34</v>
      </c>
      <c r="I25" s="75">
        <v>25</v>
      </c>
      <c r="J25" s="53"/>
    </row>
    <row r="26" spans="2:10" ht="13.5" customHeight="1">
      <c r="B26" s="273" t="s">
        <v>28</v>
      </c>
      <c r="C26" s="273"/>
      <c r="D26" s="273"/>
      <c r="F26" s="84"/>
      <c r="G26" s="74" t="s">
        <v>27</v>
      </c>
      <c r="H26" s="75">
        <v>19.6</v>
      </c>
      <c r="I26" s="75">
        <v>24.23</v>
      </c>
      <c r="J26" s="53"/>
    </row>
    <row r="27" spans="2:10" ht="13.5" customHeight="1">
      <c r="B27" s="76"/>
      <c r="D27" s="77"/>
      <c r="F27" s="84"/>
      <c r="G27" s="74" t="s">
        <v>28</v>
      </c>
      <c r="H27" s="75">
        <v>20.76</v>
      </c>
      <c r="I27" s="75">
        <v>26.44</v>
      </c>
      <c r="J27" s="53"/>
    </row>
    <row r="28" spans="1:13" ht="13.5" customHeight="1">
      <c r="A28" s="284" t="s">
        <v>29</v>
      </c>
      <c r="B28" s="284"/>
      <c r="C28" s="284"/>
      <c r="D28" s="284"/>
      <c r="F28" s="84"/>
      <c r="G28" s="74" t="s">
        <v>30</v>
      </c>
      <c r="H28" s="75">
        <v>24</v>
      </c>
      <c r="I28" s="75">
        <v>27.86</v>
      </c>
      <c r="J28" s="53"/>
      <c r="M28" s="78"/>
    </row>
    <row r="29" spans="2:10" ht="13.5" customHeight="1">
      <c r="B29" s="68"/>
      <c r="C29" s="69"/>
      <c r="D29" s="79"/>
      <c r="F29" s="84"/>
      <c r="G29" s="74" t="s">
        <v>31</v>
      </c>
      <c r="H29" s="75">
        <v>22.8</v>
      </c>
      <c r="I29" s="75">
        <v>30.95</v>
      </c>
      <c r="J29" s="53"/>
    </row>
    <row r="30" spans="1:10" ht="13.5" customHeight="1">
      <c r="A30" s="80"/>
      <c r="B30" s="81" t="s">
        <v>32</v>
      </c>
      <c r="C30" s="82">
        <v>3</v>
      </c>
      <c r="D30" s="83" t="s">
        <v>33</v>
      </c>
      <c r="F30" s="84"/>
      <c r="G30" s="74" t="s">
        <v>34</v>
      </c>
      <c r="H30" s="75">
        <v>11.1</v>
      </c>
      <c r="I30" s="75">
        <v>16.8</v>
      </c>
      <c r="J30" s="53"/>
    </row>
    <row r="31" spans="1:10" ht="13.5" customHeight="1">
      <c r="A31" s="80"/>
      <c r="B31" s="81" t="s">
        <v>35</v>
      </c>
      <c r="C31" s="82">
        <v>1</v>
      </c>
      <c r="D31" s="83" t="s">
        <v>33</v>
      </c>
      <c r="F31" s="84"/>
      <c r="G31" s="278" t="s">
        <v>36</v>
      </c>
      <c r="H31" s="278"/>
      <c r="I31" s="278"/>
      <c r="J31" s="53"/>
    </row>
    <row r="32" spans="1:10" ht="13.5" customHeight="1">
      <c r="A32" s="80"/>
      <c r="B32" s="81" t="s">
        <v>37</v>
      </c>
      <c r="C32" s="82">
        <v>1</v>
      </c>
      <c r="D32" s="83" t="s">
        <v>33</v>
      </c>
      <c r="E32" s="87"/>
      <c r="F32" s="87"/>
      <c r="G32" s="279"/>
      <c r="H32" s="279"/>
      <c r="I32" s="279"/>
      <c r="J32" s="53"/>
    </row>
    <row r="33" spans="1:10" ht="13.5" customHeight="1">
      <c r="A33" s="80"/>
      <c r="B33" s="81" t="s">
        <v>38</v>
      </c>
      <c r="C33" s="82">
        <v>1.2</v>
      </c>
      <c r="D33" s="83" t="s">
        <v>33</v>
      </c>
      <c r="F33" s="84"/>
      <c r="G33" s="279"/>
      <c r="H33" s="279"/>
      <c r="I33" s="279"/>
      <c r="J33" s="53"/>
    </row>
    <row r="34" spans="1:10" ht="13.5" customHeight="1">
      <c r="A34" s="84"/>
      <c r="B34" s="81"/>
      <c r="C34" s="85"/>
      <c r="D34" s="83"/>
      <c r="F34" s="84"/>
      <c r="G34" s="86"/>
      <c r="H34" s="86"/>
      <c r="I34" s="86"/>
      <c r="J34" s="53"/>
    </row>
    <row r="35" spans="1:10" ht="13.5" customHeight="1">
      <c r="A35" s="80"/>
      <c r="B35" s="81" t="s">
        <v>39</v>
      </c>
      <c r="C35" s="82">
        <v>6.5</v>
      </c>
      <c r="D35" s="83" t="s">
        <v>33</v>
      </c>
      <c r="F35" s="84"/>
      <c r="G35" s="293" t="s">
        <v>40</v>
      </c>
      <c r="H35" s="293"/>
      <c r="I35" s="293"/>
      <c r="J35" s="53"/>
    </row>
    <row r="36" spans="3:10" ht="13.5" customHeight="1">
      <c r="C36" s="87"/>
      <c r="D36" s="88"/>
      <c r="F36" s="84"/>
      <c r="G36" s="293"/>
      <c r="H36" s="293"/>
      <c r="I36" s="293"/>
      <c r="J36" s="53"/>
    </row>
    <row r="37" spans="1:10" ht="13.5" customHeight="1">
      <c r="A37" s="284" t="s">
        <v>41</v>
      </c>
      <c r="B37" s="284"/>
      <c r="C37" s="284"/>
      <c r="D37" s="284"/>
      <c r="F37" s="84"/>
      <c r="G37" s="293"/>
      <c r="H37" s="293"/>
      <c r="I37" s="293"/>
      <c r="J37" s="53"/>
    </row>
    <row r="38" spans="2:10" ht="13.5" customHeight="1">
      <c r="B38" s="68"/>
      <c r="C38" s="89"/>
      <c r="D38" s="90"/>
      <c r="F38" s="84"/>
      <c r="G38" s="291" t="s">
        <v>42</v>
      </c>
      <c r="H38" s="291"/>
      <c r="I38" s="291"/>
      <c r="J38" s="53"/>
    </row>
    <row r="39" spans="1:10" ht="13.5" customHeight="1">
      <c r="A39" s="80"/>
      <c r="B39" s="91" t="s">
        <v>43</v>
      </c>
      <c r="C39" s="92">
        <f>C40+C41+C42+C43</f>
        <v>13.15</v>
      </c>
      <c r="D39" s="93" t="s">
        <v>33</v>
      </c>
      <c r="F39" s="84"/>
      <c r="G39" s="291"/>
      <c r="H39" s="291"/>
      <c r="I39" s="291"/>
      <c r="J39" s="53"/>
    </row>
    <row r="40" spans="2:10" ht="13.5" customHeight="1">
      <c r="B40" s="94" t="s">
        <v>44</v>
      </c>
      <c r="C40" s="82">
        <v>5</v>
      </c>
      <c r="D40" s="83" t="s">
        <v>33</v>
      </c>
      <c r="F40" s="84"/>
      <c r="G40" s="291"/>
      <c r="H40" s="291"/>
      <c r="I40" s="291"/>
      <c r="J40" s="53"/>
    </row>
    <row r="41" spans="2:10" ht="13.5" customHeight="1">
      <c r="B41" s="94" t="s">
        <v>45</v>
      </c>
      <c r="C41" s="85">
        <v>3</v>
      </c>
      <c r="D41" s="85" t="s">
        <v>33</v>
      </c>
      <c r="F41" s="84"/>
      <c r="G41" s="84"/>
      <c r="H41" s="84"/>
      <c r="I41" s="84"/>
      <c r="J41" s="53"/>
    </row>
    <row r="42" spans="2:10" ht="13.5" customHeight="1">
      <c r="B42" s="94" t="s">
        <v>46</v>
      </c>
      <c r="C42" s="85">
        <v>0.65</v>
      </c>
      <c r="D42" s="85" t="s">
        <v>33</v>
      </c>
      <c r="F42" s="84"/>
      <c r="G42" s="286" t="s">
        <v>47</v>
      </c>
      <c r="H42" s="292"/>
      <c r="I42" s="287"/>
      <c r="J42" s="53"/>
    </row>
    <row r="43" spans="2:10" ht="13.5" customHeight="1">
      <c r="B43" s="94" t="s">
        <v>48</v>
      </c>
      <c r="C43" s="85">
        <f>IF(B23="Com Desoneração",4.5,0)</f>
        <v>4.5</v>
      </c>
      <c r="D43" s="83" t="s">
        <v>33</v>
      </c>
      <c r="F43" s="84"/>
      <c r="G43" s="302" t="str">
        <f>IF($H$43&lt;VLOOKUP(B26,G25:I30,2,FALSE),"NÃO ATENDE O LIMITE INFERIOR",IF(H43&gt;VLOOKUP(B26,G25:I30,3,FALSE),"NÃO ATENDE O LIMITE SUPERIOR","ATENDE"))</f>
        <v>ATENDE</v>
      </c>
      <c r="H43" s="294">
        <f>ROUND((((1+($C$30/100)+($C$32/100)+($C$31/100))*(1+($C$33/100))*(1+($C$35/100)))/(1-($C$39-$C$43)/100)-1)*100,2)</f>
        <v>23.88</v>
      </c>
      <c r="I43" s="296" t="s">
        <v>33</v>
      </c>
      <c r="J43" s="53"/>
    </row>
    <row r="44" spans="4:10" ht="13.5" customHeight="1">
      <c r="D44" s="77"/>
      <c r="F44" s="84"/>
      <c r="G44" s="303"/>
      <c r="H44" s="295"/>
      <c r="I44" s="297"/>
      <c r="J44" s="53"/>
    </row>
    <row r="45" spans="1:10" ht="13.5" customHeight="1">
      <c r="A45" s="284" t="s">
        <v>49</v>
      </c>
      <c r="B45" s="284"/>
      <c r="C45" s="284"/>
      <c r="D45" s="284"/>
      <c r="F45" s="84"/>
      <c r="G45" s="84"/>
      <c r="H45" s="84"/>
      <c r="I45" s="84"/>
      <c r="J45" s="53"/>
    </row>
    <row r="46" spans="2:10" ht="13.5" customHeight="1">
      <c r="B46" s="68"/>
      <c r="C46" s="69"/>
      <c r="D46" s="70"/>
      <c r="F46" s="84"/>
      <c r="G46" s="301" t="s">
        <v>50</v>
      </c>
      <c r="H46" s="301"/>
      <c r="I46" s="301"/>
      <c r="J46" s="53"/>
    </row>
    <row r="47" spans="1:10" ht="13.5" customHeight="1">
      <c r="A47" s="80" t="s">
        <v>51</v>
      </c>
      <c r="B47" s="87" t="s">
        <v>52</v>
      </c>
      <c r="C47" s="274">
        <f>ROUND((((1+($C$30/100)+($C$32/100)+($C$31/100))*(1+($C$33/100))*(1+($C$35/100)))/(1-$C$39/100)-1),4)</f>
        <v>0.303</v>
      </c>
      <c r="D47" s="275"/>
      <c r="F47" s="84"/>
      <c r="G47" s="301"/>
      <c r="H47" s="301"/>
      <c r="I47" s="301"/>
      <c r="J47" s="53"/>
    </row>
    <row r="48" spans="2:10" ht="13.5" customHeight="1">
      <c r="B48" s="76" t="s">
        <v>53</v>
      </c>
      <c r="C48" s="276"/>
      <c r="D48" s="277"/>
      <c r="F48" s="84"/>
      <c r="G48" s="301"/>
      <c r="H48" s="301"/>
      <c r="I48" s="301"/>
      <c r="J48" s="53"/>
    </row>
    <row r="49" spans="3:10" ht="13.5" customHeight="1">
      <c r="C49" s="95"/>
      <c r="F49" s="84"/>
      <c r="G49" s="84"/>
      <c r="H49" s="84"/>
      <c r="I49" s="84"/>
      <c r="J49" s="53"/>
    </row>
    <row r="50" spans="3:10" ht="13.5" customHeight="1">
      <c r="C50" s="95"/>
      <c r="F50" s="97"/>
      <c r="G50" s="97"/>
      <c r="H50" s="97"/>
      <c r="I50" s="97"/>
      <c r="J50" s="98"/>
    </row>
    <row r="51" ht="13.5" customHeight="1">
      <c r="C51" s="95"/>
    </row>
    <row r="52" ht="13.5" customHeight="1">
      <c r="B52" s="99"/>
    </row>
    <row r="53" spans="1:4" ht="13.5" customHeight="1">
      <c r="A53" s="245" t="s">
        <v>179</v>
      </c>
      <c r="B53" s="245"/>
      <c r="C53" s="245"/>
      <c r="D53" s="245"/>
    </row>
    <row r="54" spans="1:4" ht="12">
      <c r="A54" s="245" t="s">
        <v>180</v>
      </c>
      <c r="B54" s="245"/>
      <c r="C54" s="245"/>
      <c r="D54" s="245"/>
    </row>
    <row r="55" spans="1:4" ht="12">
      <c r="A55" s="245" t="s">
        <v>181</v>
      </c>
      <c r="B55" s="245"/>
      <c r="C55" s="245"/>
      <c r="D55" s="245"/>
    </row>
    <row r="56" ht="12"/>
    <row r="57" ht="12"/>
  </sheetData>
  <sheetProtection selectLockedCells="1"/>
  <protectedRanges>
    <protectedRange sqref="C30:C33" name="Intervalo1"/>
    <protectedRange sqref="C34:C35 C40:C43" name="Intervalo2"/>
  </protectedRanges>
  <mergeCells count="33">
    <mergeCell ref="G13:H13"/>
    <mergeCell ref="G23:G24"/>
    <mergeCell ref="B18:D19"/>
    <mergeCell ref="B26:D26"/>
    <mergeCell ref="G46:I48"/>
    <mergeCell ref="G43:G44"/>
    <mergeCell ref="G18:I18"/>
    <mergeCell ref="H43:H44"/>
    <mergeCell ref="I43:I44"/>
    <mergeCell ref="A37:D37"/>
    <mergeCell ref="A45:D45"/>
    <mergeCell ref="A28:D28"/>
    <mergeCell ref="A53:D53"/>
    <mergeCell ref="B20:D20"/>
    <mergeCell ref="A15:D15"/>
    <mergeCell ref="A13:E13"/>
    <mergeCell ref="A54:D54"/>
    <mergeCell ref="A55:D55"/>
    <mergeCell ref="G20:I22"/>
    <mergeCell ref="A22:D22"/>
    <mergeCell ref="G38:I40"/>
    <mergeCell ref="G42:I42"/>
    <mergeCell ref="G35:I37"/>
    <mergeCell ref="B23:D23"/>
    <mergeCell ref="C47:D48"/>
    <mergeCell ref="G31:I33"/>
    <mergeCell ref="A8:D8"/>
    <mergeCell ref="A10:D10"/>
    <mergeCell ref="A11:D11"/>
    <mergeCell ref="A12:D12"/>
    <mergeCell ref="A25:D25"/>
    <mergeCell ref="G10:H10"/>
    <mergeCell ref="H23:I23"/>
  </mergeCells>
  <conditionalFormatting sqref="G25:I30">
    <cfRule type="expression" priority="2" dxfId="2" stopIfTrue="1">
      <formula>$G25=$B$26</formula>
    </cfRule>
  </conditionalFormatting>
  <conditionalFormatting sqref="G43">
    <cfRule type="cellIs" priority="1" dxfId="3" operator="equal" stopIfTrue="1">
      <formula>"Atende"</formula>
    </cfRule>
  </conditionalFormatting>
  <dataValidations count="2">
    <dataValidation type="list" allowBlank="1" showInputMessage="1" showErrorMessage="1" sqref="B23:D23">
      <formula1>"Com Desoneração, Sem Desoneração"</formula1>
    </dataValidation>
    <dataValidation type="list" allowBlank="1" showInputMessage="1" showErrorMessage="1" sqref="B26:D26">
      <formula1>$G$25:$G$30</formula1>
    </dataValidation>
  </dataValidations>
  <printOptions/>
  <pageMargins left="0.984251968503937" right="0.5905511811023623" top="0.7874015748031497" bottom="0.7874015748031497" header="0" footer="0"/>
  <pageSetup horizontalDpi="600" verticalDpi="600" orientation="portrait" paperSize="9" scale="98" r:id="rId4"/>
  <headerFooter alignWithMargins="0">
    <oddFooter>&amp;CPágina &amp;P de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1:K62"/>
  <sheetViews>
    <sheetView view="pageBreakPreview" zoomScaleSheetLayoutView="100" zoomScalePageLayoutView="0" workbookViewId="0" topLeftCell="A7">
      <selection activeCell="P54" sqref="P54"/>
    </sheetView>
  </sheetViews>
  <sheetFormatPr defaultColWidth="9.00390625" defaultRowHeight="13.5"/>
  <cols>
    <col min="1" max="1" width="11.375" style="100" customWidth="1"/>
    <col min="2" max="3" width="10.375" style="100" customWidth="1"/>
    <col min="4" max="4" width="4.25390625" style="116" bestFit="1" customWidth="1"/>
    <col min="5" max="5" width="8.25390625" style="100" customWidth="1"/>
    <col min="6" max="6" width="6.75390625" style="116" customWidth="1"/>
    <col min="7" max="8" width="8.25390625" style="116" customWidth="1"/>
    <col min="9" max="9" width="7.625" style="116" bestFit="1" customWidth="1"/>
    <col min="10" max="10" width="8.75390625" style="116" bestFit="1" customWidth="1"/>
    <col min="11" max="11" width="8.25390625" style="129" customWidth="1"/>
    <col min="12" max="16384" width="9.00390625" style="100" customWidth="1"/>
  </cols>
  <sheetData>
    <row r="2" ht="12"/>
    <row r="3" ht="12"/>
    <row r="4" ht="12"/>
    <row r="5" ht="12"/>
    <row r="6" ht="12"/>
    <row r="7" ht="12"/>
    <row r="8" ht="12"/>
    <row r="9" ht="12"/>
    <row r="11" spans="1:11" ht="15">
      <c r="A11" s="322" t="s">
        <v>182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</row>
    <row r="12" spans="1:11" s="104" customFormat="1" ht="12">
      <c r="A12" s="101" t="s">
        <v>9</v>
      </c>
      <c r="B12" s="102" t="s">
        <v>97</v>
      </c>
      <c r="C12" s="101" t="s">
        <v>54</v>
      </c>
      <c r="D12" s="323" t="s">
        <v>98</v>
      </c>
      <c r="E12" s="324"/>
      <c r="F12" s="121"/>
      <c r="G12" s="121"/>
      <c r="H12" s="122" t="s">
        <v>55</v>
      </c>
      <c r="I12" s="103">
        <f>BDI!C47</f>
        <v>0.303</v>
      </c>
      <c r="J12" s="122" t="s">
        <v>56</v>
      </c>
      <c r="K12" s="103">
        <v>0.8954</v>
      </c>
    </row>
    <row r="13" spans="1:11" ht="12">
      <c r="A13" s="325" t="s">
        <v>57</v>
      </c>
      <c r="B13" s="327" t="s">
        <v>96</v>
      </c>
      <c r="C13" s="327"/>
      <c r="D13" s="327"/>
      <c r="E13" s="327"/>
      <c r="F13" s="327"/>
      <c r="G13" s="327"/>
      <c r="H13" s="327"/>
      <c r="I13" s="327"/>
      <c r="J13" s="328" t="s">
        <v>58</v>
      </c>
      <c r="K13" s="330" t="s">
        <v>70</v>
      </c>
    </row>
    <row r="14" spans="1:11" ht="12">
      <c r="A14" s="326"/>
      <c r="B14" s="327"/>
      <c r="C14" s="327"/>
      <c r="D14" s="327"/>
      <c r="E14" s="327"/>
      <c r="F14" s="327"/>
      <c r="G14" s="327"/>
      <c r="H14" s="327"/>
      <c r="I14" s="327"/>
      <c r="J14" s="329"/>
      <c r="K14" s="330"/>
    </row>
    <row r="15" spans="1:11" s="106" customFormat="1" ht="24">
      <c r="A15" s="306" t="s">
        <v>59</v>
      </c>
      <c r="B15" s="306"/>
      <c r="C15" s="306"/>
      <c r="D15" s="105" t="s">
        <v>60</v>
      </c>
      <c r="E15" s="105" t="s">
        <v>61</v>
      </c>
      <c r="F15" s="105" t="s">
        <v>62</v>
      </c>
      <c r="G15" s="105" t="s">
        <v>100</v>
      </c>
      <c r="H15" s="105" t="s">
        <v>101</v>
      </c>
      <c r="I15" s="105" t="s">
        <v>102</v>
      </c>
      <c r="J15" s="105" t="s">
        <v>103</v>
      </c>
      <c r="K15" s="126" t="s">
        <v>67</v>
      </c>
    </row>
    <row r="16" spans="1:11" s="106" customFormat="1" ht="12">
      <c r="A16" s="315" t="s">
        <v>99</v>
      </c>
      <c r="B16" s="316"/>
      <c r="C16" s="317"/>
      <c r="D16" s="112" t="s">
        <v>70</v>
      </c>
      <c r="E16" s="112">
        <v>30008</v>
      </c>
      <c r="F16" s="112">
        <v>1</v>
      </c>
      <c r="G16" s="112">
        <v>0.9</v>
      </c>
      <c r="H16" s="112">
        <v>0.1</v>
      </c>
      <c r="I16" s="112">
        <v>307.01</v>
      </c>
      <c r="J16" s="118">
        <v>57.65</v>
      </c>
      <c r="K16" s="113">
        <f>(I16*G16)+(J16*H16)</f>
        <v>282.074</v>
      </c>
    </row>
    <row r="17" spans="1:11" s="106" customFormat="1" ht="12">
      <c r="A17" s="315"/>
      <c r="B17" s="316"/>
      <c r="C17" s="317"/>
      <c r="D17" s="112"/>
      <c r="E17" s="112"/>
      <c r="F17" s="112"/>
      <c r="G17" s="112"/>
      <c r="H17" s="112"/>
      <c r="I17" s="112"/>
      <c r="J17" s="118"/>
      <c r="K17" s="113"/>
    </row>
    <row r="18" spans="1:11" ht="12">
      <c r="A18" s="108"/>
      <c r="B18" s="109"/>
      <c r="C18" s="109"/>
      <c r="D18" s="110"/>
      <c r="E18" s="109"/>
      <c r="F18" s="110"/>
      <c r="G18" s="110"/>
      <c r="H18" s="110"/>
      <c r="I18" s="110" t="s">
        <v>68</v>
      </c>
      <c r="J18" s="305">
        <f>SUM(K16:K17)</f>
        <v>282.074</v>
      </c>
      <c r="K18" s="305"/>
    </row>
    <row r="19" spans="1:11" ht="12">
      <c r="A19" s="108"/>
      <c r="B19" s="109"/>
      <c r="C19" s="109"/>
      <c r="D19" s="110"/>
      <c r="E19" s="109"/>
      <c r="F19" s="110"/>
      <c r="G19" s="110"/>
      <c r="H19" s="110"/>
      <c r="I19" s="110"/>
      <c r="J19" s="110"/>
      <c r="K19" s="127"/>
    </row>
    <row r="20" spans="1:11" ht="24">
      <c r="A20" s="306" t="s">
        <v>69</v>
      </c>
      <c r="B20" s="306"/>
      <c r="C20" s="306"/>
      <c r="D20" s="105" t="s">
        <v>60</v>
      </c>
      <c r="E20" s="105" t="s">
        <v>61</v>
      </c>
      <c r="F20" s="105" t="s">
        <v>62</v>
      </c>
      <c r="G20" s="105" t="s">
        <v>63</v>
      </c>
      <c r="H20" s="105" t="s">
        <v>64</v>
      </c>
      <c r="I20" s="105" t="s">
        <v>65</v>
      </c>
      <c r="J20" s="105" t="s">
        <v>66</v>
      </c>
      <c r="K20" s="126" t="s">
        <v>67</v>
      </c>
    </row>
    <row r="21" spans="1:11" s="106" customFormat="1" ht="12">
      <c r="A21" s="318"/>
      <c r="B21" s="319"/>
      <c r="C21" s="320"/>
      <c r="D21" s="111"/>
      <c r="E21" s="112"/>
      <c r="F21" s="118"/>
      <c r="G21" s="123"/>
      <c r="H21" s="123"/>
      <c r="I21" s="124"/>
      <c r="J21" s="118"/>
      <c r="K21" s="113">
        <f>J21*F21</f>
        <v>0</v>
      </c>
    </row>
    <row r="22" spans="1:11" s="106" customFormat="1" ht="12">
      <c r="A22" s="307"/>
      <c r="B22" s="308"/>
      <c r="C22" s="309"/>
      <c r="D22" s="112"/>
      <c r="E22" s="112"/>
      <c r="F22" s="112"/>
      <c r="G22" s="112"/>
      <c r="H22" s="112"/>
      <c r="I22" s="107"/>
      <c r="J22" s="117"/>
      <c r="K22" s="113"/>
    </row>
    <row r="23" spans="1:11" s="106" customFormat="1" ht="12">
      <c r="A23" s="307"/>
      <c r="B23" s="308"/>
      <c r="C23" s="309"/>
      <c r="D23" s="112"/>
      <c r="E23" s="112"/>
      <c r="F23" s="112"/>
      <c r="G23" s="112"/>
      <c r="H23" s="112"/>
      <c r="I23" s="107"/>
      <c r="J23" s="117"/>
      <c r="K23" s="113"/>
    </row>
    <row r="24" spans="1:11" ht="12">
      <c r="A24" s="108"/>
      <c r="B24" s="109"/>
      <c r="C24" s="109"/>
      <c r="D24" s="110"/>
      <c r="E24" s="109"/>
      <c r="F24" s="110"/>
      <c r="G24" s="110"/>
      <c r="H24" s="110"/>
      <c r="I24" s="110" t="s">
        <v>71</v>
      </c>
      <c r="J24" s="305">
        <f>SUM(K21:K23)</f>
        <v>0</v>
      </c>
      <c r="K24" s="305"/>
    </row>
    <row r="25" spans="1:11" ht="12">
      <c r="A25" s="108"/>
      <c r="B25" s="109"/>
      <c r="C25" s="109"/>
      <c r="D25" s="110"/>
      <c r="E25" s="109"/>
      <c r="F25" s="110"/>
      <c r="G25" s="110"/>
      <c r="H25" s="110"/>
      <c r="I25" s="110"/>
      <c r="J25" s="110"/>
      <c r="K25" s="127"/>
    </row>
    <row r="26" spans="1:11" ht="24">
      <c r="A26" s="306" t="s">
        <v>72</v>
      </c>
      <c r="B26" s="306"/>
      <c r="C26" s="306"/>
      <c r="D26" s="105" t="s">
        <v>60</v>
      </c>
      <c r="E26" s="105" t="s">
        <v>61</v>
      </c>
      <c r="F26" s="105" t="s">
        <v>62</v>
      </c>
      <c r="G26" s="105" t="s">
        <v>63</v>
      </c>
      <c r="H26" s="105" t="s">
        <v>64</v>
      </c>
      <c r="I26" s="105" t="s">
        <v>65</v>
      </c>
      <c r="J26" s="105" t="s">
        <v>66</v>
      </c>
      <c r="K26" s="126" t="s">
        <v>67</v>
      </c>
    </row>
    <row r="27" spans="1:11" ht="12">
      <c r="A27" s="318"/>
      <c r="B27" s="319"/>
      <c r="C27" s="320"/>
      <c r="D27" s="112"/>
      <c r="E27" s="112"/>
      <c r="F27" s="114"/>
      <c r="G27" s="112"/>
      <c r="H27" s="112"/>
      <c r="I27" s="107"/>
      <c r="J27" s="117"/>
      <c r="K27" s="113"/>
    </row>
    <row r="28" spans="1:11" ht="12">
      <c r="A28" s="307"/>
      <c r="B28" s="308"/>
      <c r="C28" s="309"/>
      <c r="D28" s="107"/>
      <c r="E28" s="107"/>
      <c r="F28" s="107"/>
      <c r="G28" s="107"/>
      <c r="H28" s="107"/>
      <c r="I28" s="107"/>
      <c r="J28" s="117"/>
      <c r="K28" s="128"/>
    </row>
    <row r="29" spans="1:11" ht="12">
      <c r="A29" s="307"/>
      <c r="B29" s="308"/>
      <c r="C29" s="309"/>
      <c r="D29" s="107"/>
      <c r="E29" s="107"/>
      <c r="F29" s="107"/>
      <c r="G29" s="107"/>
      <c r="H29" s="107"/>
      <c r="I29" s="107"/>
      <c r="J29" s="117"/>
      <c r="K29" s="128"/>
    </row>
    <row r="30" spans="1:11" ht="12">
      <c r="A30" s="307"/>
      <c r="B30" s="308"/>
      <c r="C30" s="309"/>
      <c r="D30" s="107"/>
      <c r="E30" s="107"/>
      <c r="F30" s="107"/>
      <c r="G30" s="107"/>
      <c r="H30" s="107"/>
      <c r="I30" s="107"/>
      <c r="J30" s="117"/>
      <c r="K30" s="128"/>
    </row>
    <row r="31" spans="1:11" ht="12">
      <c r="A31" s="108"/>
      <c r="B31" s="109"/>
      <c r="C31" s="109"/>
      <c r="D31" s="110"/>
      <c r="E31" s="109"/>
      <c r="F31" s="110"/>
      <c r="G31" s="110"/>
      <c r="H31" s="110"/>
      <c r="I31" s="110" t="s">
        <v>73</v>
      </c>
      <c r="J31" s="305">
        <f>SUM(K27:K30)</f>
        <v>0</v>
      </c>
      <c r="K31" s="305"/>
    </row>
    <row r="32" spans="1:11" ht="12">
      <c r="A32" s="108"/>
      <c r="B32" s="109"/>
      <c r="C32" s="109"/>
      <c r="D32" s="110"/>
      <c r="E32" s="109"/>
      <c r="F32" s="110"/>
      <c r="G32" s="110"/>
      <c r="H32" s="110"/>
      <c r="I32" s="110"/>
      <c r="J32" s="110"/>
      <c r="K32" s="127"/>
    </row>
    <row r="33" spans="1:11" ht="12">
      <c r="A33" s="311" t="s">
        <v>74</v>
      </c>
      <c r="B33" s="312"/>
      <c r="C33" s="312"/>
      <c r="D33" s="312"/>
      <c r="E33" s="312"/>
      <c r="F33" s="312"/>
      <c r="G33" s="312"/>
      <c r="H33" s="312"/>
      <c r="I33" s="313"/>
      <c r="J33" s="321">
        <f>J18+J24+J31</f>
        <v>282.074</v>
      </c>
      <c r="K33" s="321"/>
    </row>
    <row r="34" spans="1:11" ht="12">
      <c r="A34" s="311" t="s">
        <v>75</v>
      </c>
      <c r="B34" s="312"/>
      <c r="C34" s="312"/>
      <c r="D34" s="312"/>
      <c r="E34" s="312"/>
      <c r="F34" s="312"/>
      <c r="G34" s="312"/>
      <c r="H34" s="312"/>
      <c r="I34" s="313"/>
      <c r="J34" s="305">
        <v>1</v>
      </c>
      <c r="K34" s="305"/>
    </row>
    <row r="35" spans="1:11" ht="12">
      <c r="A35" s="311" t="s">
        <v>76</v>
      </c>
      <c r="B35" s="312"/>
      <c r="C35" s="312"/>
      <c r="D35" s="312"/>
      <c r="E35" s="312"/>
      <c r="F35" s="312"/>
      <c r="G35" s="312"/>
      <c r="H35" s="312"/>
      <c r="I35" s="313"/>
      <c r="J35" s="305">
        <f>TRUNC(J33/J34,2)</f>
        <v>282.07</v>
      </c>
      <c r="K35" s="305"/>
    </row>
    <row r="36" spans="1:11" ht="12">
      <c r="A36" s="108"/>
      <c r="B36" s="109"/>
      <c r="C36" s="109"/>
      <c r="D36" s="110"/>
      <c r="E36" s="109"/>
      <c r="F36" s="110"/>
      <c r="G36" s="110"/>
      <c r="H36" s="110"/>
      <c r="I36" s="110"/>
      <c r="J36" s="110"/>
      <c r="K36" s="127"/>
    </row>
    <row r="37" spans="1:11" ht="24">
      <c r="A37" s="306" t="s">
        <v>77</v>
      </c>
      <c r="B37" s="306"/>
      <c r="C37" s="306"/>
      <c r="D37" s="105" t="s">
        <v>60</v>
      </c>
      <c r="E37" s="105" t="s">
        <v>61</v>
      </c>
      <c r="F37" s="105" t="s">
        <v>62</v>
      </c>
      <c r="G37" s="105" t="s">
        <v>63</v>
      </c>
      <c r="H37" s="105" t="s">
        <v>64</v>
      </c>
      <c r="I37" s="105" t="s">
        <v>65</v>
      </c>
      <c r="J37" s="105" t="s">
        <v>66</v>
      </c>
      <c r="K37" s="126" t="s">
        <v>67</v>
      </c>
    </row>
    <row r="38" spans="1:11" ht="12">
      <c r="A38" s="318" t="s">
        <v>104</v>
      </c>
      <c r="B38" s="319"/>
      <c r="C38" s="320"/>
      <c r="D38" s="112" t="s">
        <v>105</v>
      </c>
      <c r="E38" s="112">
        <v>11020</v>
      </c>
      <c r="F38" s="115">
        <v>0.125</v>
      </c>
      <c r="G38" s="125"/>
      <c r="H38" s="125"/>
      <c r="I38" s="107"/>
      <c r="J38" s="118">
        <v>112</v>
      </c>
      <c r="K38" s="113">
        <f>J38*F38</f>
        <v>14</v>
      </c>
    </row>
    <row r="39" spans="1:11" ht="12">
      <c r="A39" s="315"/>
      <c r="B39" s="316"/>
      <c r="C39" s="317"/>
      <c r="D39" s="112"/>
      <c r="E39" s="112"/>
      <c r="F39" s="115"/>
      <c r="G39" s="125"/>
      <c r="H39" s="125"/>
      <c r="I39" s="107"/>
      <c r="J39" s="118"/>
      <c r="K39" s="113"/>
    </row>
    <row r="40" spans="1:11" ht="12">
      <c r="A40" s="315"/>
      <c r="B40" s="316"/>
      <c r="C40" s="317"/>
      <c r="D40" s="112"/>
      <c r="E40" s="112"/>
      <c r="F40" s="115"/>
      <c r="G40" s="125"/>
      <c r="H40" s="125"/>
      <c r="I40" s="107"/>
      <c r="J40" s="118"/>
      <c r="K40" s="113"/>
    </row>
    <row r="41" spans="1:11" ht="12">
      <c r="A41" s="108"/>
      <c r="B41" s="109"/>
      <c r="C41" s="109"/>
      <c r="D41" s="110"/>
      <c r="E41" s="109"/>
      <c r="F41" s="110"/>
      <c r="G41" s="110"/>
      <c r="H41" s="110"/>
      <c r="I41" s="110" t="s">
        <v>78</v>
      </c>
      <c r="J41" s="305">
        <f>SUM(K38:K40)</f>
        <v>14</v>
      </c>
      <c r="K41" s="305"/>
    </row>
    <row r="42" spans="1:11" ht="12">
      <c r="A42" s="108"/>
      <c r="B42" s="109"/>
      <c r="C42" s="109"/>
      <c r="D42" s="110"/>
      <c r="E42" s="109"/>
      <c r="F42" s="110"/>
      <c r="G42" s="110"/>
      <c r="H42" s="110"/>
      <c r="I42" s="110"/>
      <c r="J42" s="110"/>
      <c r="K42" s="127"/>
    </row>
    <row r="43" spans="1:11" ht="24">
      <c r="A43" s="306" t="s">
        <v>79</v>
      </c>
      <c r="B43" s="306"/>
      <c r="C43" s="306"/>
      <c r="D43" s="105" t="s">
        <v>60</v>
      </c>
      <c r="E43" s="105" t="s">
        <v>61</v>
      </c>
      <c r="F43" s="105" t="s">
        <v>62</v>
      </c>
      <c r="G43" s="105" t="s">
        <v>63</v>
      </c>
      <c r="H43" s="105" t="s">
        <v>64</v>
      </c>
      <c r="I43" s="105" t="s">
        <v>65</v>
      </c>
      <c r="J43" s="105" t="s">
        <v>66</v>
      </c>
      <c r="K43" s="126" t="s">
        <v>67</v>
      </c>
    </row>
    <row r="44" spans="1:11" ht="12">
      <c r="A44" s="315"/>
      <c r="B44" s="316"/>
      <c r="C44" s="317"/>
      <c r="D44" s="112"/>
      <c r="E44" s="112"/>
      <c r="F44" s="115"/>
      <c r="G44" s="125"/>
      <c r="H44" s="125"/>
      <c r="I44" s="107"/>
      <c r="J44" s="118"/>
      <c r="K44" s="113"/>
    </row>
    <row r="45" spans="1:11" ht="12">
      <c r="A45" s="315"/>
      <c r="B45" s="316"/>
      <c r="C45" s="317"/>
      <c r="D45" s="112"/>
      <c r="E45" s="112"/>
      <c r="F45" s="115"/>
      <c r="G45" s="125"/>
      <c r="H45" s="125"/>
      <c r="I45" s="107"/>
      <c r="J45" s="118"/>
      <c r="K45" s="113"/>
    </row>
    <row r="46" spans="1:11" ht="12">
      <c r="A46" s="315"/>
      <c r="B46" s="316"/>
      <c r="C46" s="317"/>
      <c r="D46" s="112"/>
      <c r="E46" s="112"/>
      <c r="F46" s="115"/>
      <c r="G46" s="125"/>
      <c r="H46" s="125"/>
      <c r="I46" s="107"/>
      <c r="J46" s="118"/>
      <c r="K46" s="113"/>
    </row>
    <row r="47" spans="1:11" ht="12">
      <c r="A47" s="315"/>
      <c r="B47" s="316"/>
      <c r="C47" s="317"/>
      <c r="D47" s="112"/>
      <c r="E47" s="112"/>
      <c r="F47" s="115"/>
      <c r="G47" s="125"/>
      <c r="H47" s="125"/>
      <c r="I47" s="107"/>
      <c r="J47" s="118"/>
      <c r="K47" s="113"/>
    </row>
    <row r="48" spans="1:11" ht="12">
      <c r="A48" s="108"/>
      <c r="B48" s="109"/>
      <c r="C48" s="109"/>
      <c r="D48" s="110"/>
      <c r="E48" s="109"/>
      <c r="F48" s="110"/>
      <c r="G48" s="110"/>
      <c r="H48" s="110"/>
      <c r="I48" s="110" t="s">
        <v>80</v>
      </c>
      <c r="J48" s="305">
        <f>SUM(K44:K47)</f>
        <v>0</v>
      </c>
      <c r="K48" s="305"/>
    </row>
    <row r="49" spans="1:11" ht="12">
      <c r="A49" s="108"/>
      <c r="B49" s="109"/>
      <c r="C49" s="109"/>
      <c r="D49" s="110"/>
      <c r="E49" s="109"/>
      <c r="F49" s="110"/>
      <c r="G49" s="110"/>
      <c r="H49" s="110"/>
      <c r="I49" s="110"/>
      <c r="J49" s="110"/>
      <c r="K49" s="127"/>
    </row>
    <row r="50" spans="1:11" ht="24">
      <c r="A50" s="306" t="s">
        <v>81</v>
      </c>
      <c r="B50" s="306"/>
      <c r="C50" s="306"/>
      <c r="D50" s="105" t="s">
        <v>60</v>
      </c>
      <c r="E50" s="105" t="s">
        <v>61</v>
      </c>
      <c r="F50" s="105" t="s">
        <v>4</v>
      </c>
      <c r="G50" s="105" t="s">
        <v>82</v>
      </c>
      <c r="H50" s="105" t="s">
        <v>83</v>
      </c>
      <c r="I50" s="105" t="s">
        <v>67</v>
      </c>
      <c r="J50" s="105" t="s">
        <v>84</v>
      </c>
      <c r="K50" s="126" t="s">
        <v>67</v>
      </c>
    </row>
    <row r="51" spans="1:11" ht="12">
      <c r="A51" s="307"/>
      <c r="B51" s="308"/>
      <c r="C51" s="309"/>
      <c r="D51" s="107"/>
      <c r="E51" s="107"/>
      <c r="F51" s="107"/>
      <c r="G51" s="107"/>
      <c r="H51" s="107"/>
      <c r="I51" s="107"/>
      <c r="J51" s="117"/>
      <c r="K51" s="128"/>
    </row>
    <row r="52" spans="1:11" ht="12">
      <c r="A52" s="108"/>
      <c r="B52" s="109"/>
      <c r="C52" s="109"/>
      <c r="D52" s="110"/>
      <c r="E52" s="109"/>
      <c r="F52" s="110"/>
      <c r="G52" s="110"/>
      <c r="H52" s="110"/>
      <c r="I52" s="110" t="s">
        <v>85</v>
      </c>
      <c r="J52" s="310"/>
      <c r="K52" s="310"/>
    </row>
    <row r="53" spans="1:11" ht="12">
      <c r="A53" s="108"/>
      <c r="B53" s="109"/>
      <c r="C53" s="109"/>
      <c r="D53" s="110"/>
      <c r="E53" s="109"/>
      <c r="F53" s="110"/>
      <c r="G53" s="110"/>
      <c r="H53" s="110"/>
      <c r="I53" s="110"/>
      <c r="J53" s="110"/>
      <c r="K53" s="127"/>
    </row>
    <row r="54" spans="1:11" ht="12">
      <c r="A54" s="311" t="s">
        <v>86</v>
      </c>
      <c r="B54" s="312"/>
      <c r="C54" s="312"/>
      <c r="D54" s="312"/>
      <c r="E54" s="312"/>
      <c r="F54" s="312"/>
      <c r="G54" s="312"/>
      <c r="H54" s="312"/>
      <c r="I54" s="313"/>
      <c r="J54" s="314">
        <f>TRUNC(J35+J41+J48+J52,2)</f>
        <v>296.07</v>
      </c>
      <c r="K54" s="314"/>
    </row>
    <row r="55" spans="1:11" ht="12">
      <c r="A55" s="311" t="s">
        <v>144</v>
      </c>
      <c r="B55" s="312"/>
      <c r="C55" s="312"/>
      <c r="D55" s="312"/>
      <c r="E55" s="312"/>
      <c r="F55" s="312"/>
      <c r="G55" s="312"/>
      <c r="H55" s="312"/>
      <c r="I55" s="313"/>
      <c r="J55" s="310">
        <f>TRUNC(J54*I12,2)</f>
        <v>89.7</v>
      </c>
      <c r="K55" s="310"/>
    </row>
    <row r="56" spans="1:11" ht="12">
      <c r="A56" s="311" t="s">
        <v>87</v>
      </c>
      <c r="B56" s="312"/>
      <c r="C56" s="312"/>
      <c r="D56" s="312"/>
      <c r="E56" s="312"/>
      <c r="F56" s="312"/>
      <c r="G56" s="312"/>
      <c r="H56" s="312"/>
      <c r="I56" s="313"/>
      <c r="J56" s="305">
        <f>J55+J54</f>
        <v>385.77</v>
      </c>
      <c r="K56" s="305"/>
    </row>
    <row r="60" spans="1:11" ht="12">
      <c r="A60" s="245" t="s">
        <v>179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</row>
    <row r="61" spans="1:11" ht="12">
      <c r="A61" s="245" t="s">
        <v>180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</row>
    <row r="62" spans="1:11" ht="12">
      <c r="A62" s="245" t="s">
        <v>181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</row>
  </sheetData>
  <sheetProtection/>
  <mergeCells count="50">
    <mergeCell ref="A60:K60"/>
    <mergeCell ref="A61:K61"/>
    <mergeCell ref="A62:K62"/>
    <mergeCell ref="A15:C15"/>
    <mergeCell ref="A11:K11"/>
    <mergeCell ref="D12:E12"/>
    <mergeCell ref="A13:A14"/>
    <mergeCell ref="B13:I14"/>
    <mergeCell ref="J13:J14"/>
    <mergeCell ref="K13:K14"/>
    <mergeCell ref="A16:C16"/>
    <mergeCell ref="A17:C17"/>
    <mergeCell ref="J18:K18"/>
    <mergeCell ref="A20:C20"/>
    <mergeCell ref="A21:C21"/>
    <mergeCell ref="A26:C26"/>
    <mergeCell ref="A22:C22"/>
    <mergeCell ref="A23:C23"/>
    <mergeCell ref="J24:K24"/>
    <mergeCell ref="A28:C28"/>
    <mergeCell ref="A29:C29"/>
    <mergeCell ref="A30:C30"/>
    <mergeCell ref="J31:K31"/>
    <mergeCell ref="A33:I33"/>
    <mergeCell ref="J33:K33"/>
    <mergeCell ref="A27:C27"/>
    <mergeCell ref="J41:K41"/>
    <mergeCell ref="A34:I34"/>
    <mergeCell ref="J34:K34"/>
    <mergeCell ref="A35:I35"/>
    <mergeCell ref="J35:K35"/>
    <mergeCell ref="A37:C37"/>
    <mergeCell ref="A38:C38"/>
    <mergeCell ref="A39:C39"/>
    <mergeCell ref="A40:C40"/>
    <mergeCell ref="A43:C43"/>
    <mergeCell ref="A44:C44"/>
    <mergeCell ref="A45:C45"/>
    <mergeCell ref="A46:C46"/>
    <mergeCell ref="A47:C47"/>
    <mergeCell ref="A56:I56"/>
    <mergeCell ref="J56:K56"/>
    <mergeCell ref="J48:K48"/>
    <mergeCell ref="A50:C50"/>
    <mergeCell ref="A51:C51"/>
    <mergeCell ref="J52:K52"/>
    <mergeCell ref="A54:I54"/>
    <mergeCell ref="J54:K54"/>
    <mergeCell ref="A55:I55"/>
    <mergeCell ref="J55:K55"/>
  </mergeCells>
  <printOptions/>
  <pageMargins left="0.984251968503937" right="0.3937007874015748" top="0.3937007874015748" bottom="0.7874015748031497" header="0" footer="0"/>
  <pageSetup horizontalDpi="600" verticalDpi="600" orientation="portrait" paperSize="9" scale="86" r:id="rId2"/>
  <headerFooter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1:K62"/>
  <sheetViews>
    <sheetView view="pageBreakPreview" zoomScaleSheetLayoutView="100" zoomScalePageLayoutView="0" workbookViewId="0" topLeftCell="A4">
      <selection activeCell="A15" sqref="A15:C15"/>
    </sheetView>
  </sheetViews>
  <sheetFormatPr defaultColWidth="9.00390625" defaultRowHeight="13.5"/>
  <cols>
    <col min="1" max="1" width="11.375" style="100" customWidth="1"/>
    <col min="2" max="3" width="10.375" style="100" customWidth="1"/>
    <col min="4" max="4" width="4.25390625" style="116" bestFit="1" customWidth="1"/>
    <col min="5" max="5" width="8.25390625" style="100" customWidth="1"/>
    <col min="6" max="6" width="6.75390625" style="116" customWidth="1"/>
    <col min="7" max="8" width="8.25390625" style="116" customWidth="1"/>
    <col min="9" max="9" width="7.625" style="116" bestFit="1" customWidth="1"/>
    <col min="10" max="10" width="8.75390625" style="116" bestFit="1" customWidth="1"/>
    <col min="11" max="11" width="8.25390625" style="129" customWidth="1"/>
    <col min="12" max="16384" width="9.00390625" style="100" customWidth="1"/>
  </cols>
  <sheetData>
    <row r="2" ht="12"/>
    <row r="3" ht="12"/>
    <row r="4" ht="12"/>
    <row r="5" ht="12"/>
    <row r="6" ht="12"/>
    <row r="7" ht="12"/>
    <row r="8" ht="12"/>
    <row r="9" ht="12"/>
    <row r="11" spans="1:11" ht="15">
      <c r="A11" s="322" t="s">
        <v>183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</row>
    <row r="12" spans="1:11" s="104" customFormat="1" ht="12">
      <c r="A12" s="101" t="s">
        <v>9</v>
      </c>
      <c r="B12" s="102" t="s">
        <v>90</v>
      </c>
      <c r="C12" s="101" t="s">
        <v>54</v>
      </c>
      <c r="D12" s="323" t="s">
        <v>166</v>
      </c>
      <c r="E12" s="324"/>
      <c r="F12" s="121"/>
      <c r="G12" s="121"/>
      <c r="H12" s="122" t="s">
        <v>55</v>
      </c>
      <c r="I12" s="103">
        <f>BDI!C47</f>
        <v>0.303</v>
      </c>
      <c r="J12" s="122" t="s">
        <v>56</v>
      </c>
      <c r="K12" s="103">
        <v>0.8954</v>
      </c>
    </row>
    <row r="13" spans="1:11" ht="12">
      <c r="A13" s="331" t="s">
        <v>57</v>
      </c>
      <c r="B13" s="327" t="s">
        <v>188</v>
      </c>
      <c r="C13" s="327"/>
      <c r="D13" s="327"/>
      <c r="E13" s="327"/>
      <c r="F13" s="327"/>
      <c r="G13" s="327"/>
      <c r="H13" s="327"/>
      <c r="I13" s="327"/>
      <c r="J13" s="331" t="s">
        <v>58</v>
      </c>
      <c r="K13" s="333" t="s">
        <v>95</v>
      </c>
    </row>
    <row r="14" spans="1:11" ht="12">
      <c r="A14" s="332"/>
      <c r="B14" s="327"/>
      <c r="C14" s="327"/>
      <c r="D14" s="327"/>
      <c r="E14" s="327"/>
      <c r="F14" s="327"/>
      <c r="G14" s="327"/>
      <c r="H14" s="327"/>
      <c r="I14" s="327"/>
      <c r="J14" s="332"/>
      <c r="K14" s="333"/>
    </row>
    <row r="15" spans="1:11" s="106" customFormat="1" ht="24">
      <c r="A15" s="306" t="s">
        <v>59</v>
      </c>
      <c r="B15" s="306"/>
      <c r="C15" s="306"/>
      <c r="D15" s="105" t="s">
        <v>60</v>
      </c>
      <c r="E15" s="105" t="s">
        <v>61</v>
      </c>
      <c r="F15" s="105" t="s">
        <v>62</v>
      </c>
      <c r="G15" s="105" t="s">
        <v>63</v>
      </c>
      <c r="H15" s="105" t="s">
        <v>64</v>
      </c>
      <c r="I15" s="105" t="s">
        <v>65</v>
      </c>
      <c r="J15" s="105" t="s">
        <v>66</v>
      </c>
      <c r="K15" s="126" t="s">
        <v>67</v>
      </c>
    </row>
    <row r="16" spans="1:11" s="106" customFormat="1" ht="39.75" customHeight="1">
      <c r="A16" s="315" t="s">
        <v>168</v>
      </c>
      <c r="B16" s="316"/>
      <c r="C16" s="317"/>
      <c r="D16" s="112" t="s">
        <v>169</v>
      </c>
      <c r="E16" s="112">
        <v>5631</v>
      </c>
      <c r="F16" s="112">
        <v>0.0107</v>
      </c>
      <c r="G16" s="112"/>
      <c r="H16" s="112"/>
      <c r="I16" s="112"/>
      <c r="J16" s="118">
        <v>132.76</v>
      </c>
      <c r="K16" s="113">
        <f>J16*F16</f>
        <v>1.420532</v>
      </c>
    </row>
    <row r="17" spans="1:11" s="106" customFormat="1" ht="39.75" customHeight="1">
      <c r="A17" s="315" t="s">
        <v>170</v>
      </c>
      <c r="B17" s="316"/>
      <c r="C17" s="317"/>
      <c r="D17" s="112" t="s">
        <v>171</v>
      </c>
      <c r="E17" s="112">
        <v>5632</v>
      </c>
      <c r="F17" s="112">
        <v>0.0027</v>
      </c>
      <c r="G17" s="112"/>
      <c r="H17" s="112"/>
      <c r="I17" s="112"/>
      <c r="J17" s="118">
        <v>51.73</v>
      </c>
      <c r="K17" s="113">
        <f>J17*F17</f>
        <v>0.139671</v>
      </c>
    </row>
    <row r="18" spans="1:11" ht="12">
      <c r="A18" s="108"/>
      <c r="B18" s="109"/>
      <c r="C18" s="109"/>
      <c r="D18" s="110"/>
      <c r="E18" s="109"/>
      <c r="F18" s="110"/>
      <c r="G18" s="110"/>
      <c r="H18" s="110"/>
      <c r="I18" s="110" t="s">
        <v>68</v>
      </c>
      <c r="J18" s="305">
        <f>SUM(K16:K17)</f>
        <v>1.560203</v>
      </c>
      <c r="K18" s="305"/>
    </row>
    <row r="19" spans="1:11" ht="12">
      <c r="A19" s="108"/>
      <c r="B19" s="109"/>
      <c r="C19" s="109"/>
      <c r="D19" s="110"/>
      <c r="E19" s="109"/>
      <c r="F19" s="110"/>
      <c r="G19" s="110"/>
      <c r="H19" s="110"/>
      <c r="I19" s="110"/>
      <c r="J19" s="110"/>
      <c r="K19" s="127"/>
    </row>
    <row r="20" spans="1:11" ht="24">
      <c r="A20" s="306" t="s">
        <v>69</v>
      </c>
      <c r="B20" s="306"/>
      <c r="C20" s="306"/>
      <c r="D20" s="105" t="s">
        <v>60</v>
      </c>
      <c r="E20" s="105" t="s">
        <v>61</v>
      </c>
      <c r="F20" s="105" t="s">
        <v>62</v>
      </c>
      <c r="G20" s="105" t="s">
        <v>63</v>
      </c>
      <c r="H20" s="105" t="s">
        <v>64</v>
      </c>
      <c r="I20" s="105" t="s">
        <v>65</v>
      </c>
      <c r="J20" s="105" t="s">
        <v>66</v>
      </c>
      <c r="K20" s="126" t="s">
        <v>67</v>
      </c>
    </row>
    <row r="21" spans="1:11" s="106" customFormat="1" ht="12">
      <c r="A21" s="318" t="s">
        <v>167</v>
      </c>
      <c r="B21" s="319"/>
      <c r="C21" s="320"/>
      <c r="D21" s="111" t="s">
        <v>70</v>
      </c>
      <c r="E21" s="112">
        <v>88316</v>
      </c>
      <c r="F21" s="123">
        <v>0.0134</v>
      </c>
      <c r="G21" s="123"/>
      <c r="H21" s="123"/>
      <c r="I21" s="124"/>
      <c r="J21" s="118">
        <v>13.61</v>
      </c>
      <c r="K21" s="113">
        <f>J21*F21</f>
        <v>0.182374</v>
      </c>
    </row>
    <row r="22" spans="1:11" s="106" customFormat="1" ht="12">
      <c r="A22" s="307"/>
      <c r="B22" s="308"/>
      <c r="C22" s="309"/>
      <c r="D22" s="112"/>
      <c r="E22" s="112"/>
      <c r="F22" s="112"/>
      <c r="G22" s="112"/>
      <c r="H22" s="112"/>
      <c r="I22" s="107"/>
      <c r="J22" s="117"/>
      <c r="K22" s="113"/>
    </row>
    <row r="23" spans="1:11" s="106" customFormat="1" ht="12">
      <c r="A23" s="307"/>
      <c r="B23" s="308"/>
      <c r="C23" s="309"/>
      <c r="D23" s="112"/>
      <c r="E23" s="112"/>
      <c r="F23" s="112"/>
      <c r="G23" s="112"/>
      <c r="H23" s="112"/>
      <c r="I23" s="107"/>
      <c r="J23" s="117"/>
      <c r="K23" s="113"/>
    </row>
    <row r="24" spans="1:11" ht="12">
      <c r="A24" s="108"/>
      <c r="B24" s="109"/>
      <c r="C24" s="109"/>
      <c r="D24" s="110"/>
      <c r="E24" s="109"/>
      <c r="F24" s="110"/>
      <c r="G24" s="110"/>
      <c r="H24" s="110"/>
      <c r="I24" s="110" t="s">
        <v>71</v>
      </c>
      <c r="J24" s="305">
        <f>SUM(K21:K23)</f>
        <v>0.182374</v>
      </c>
      <c r="K24" s="305"/>
    </row>
    <row r="25" spans="1:11" ht="12">
      <c r="A25" s="108"/>
      <c r="B25" s="109"/>
      <c r="C25" s="109"/>
      <c r="D25" s="110"/>
      <c r="E25" s="109"/>
      <c r="F25" s="110"/>
      <c r="G25" s="110"/>
      <c r="H25" s="110"/>
      <c r="I25" s="110"/>
      <c r="J25" s="110"/>
      <c r="K25" s="127"/>
    </row>
    <row r="26" spans="1:11" ht="24">
      <c r="A26" s="306" t="s">
        <v>72</v>
      </c>
      <c r="B26" s="306"/>
      <c r="C26" s="306"/>
      <c r="D26" s="105" t="s">
        <v>60</v>
      </c>
      <c r="E26" s="105" t="s">
        <v>61</v>
      </c>
      <c r="F26" s="105" t="s">
        <v>62</v>
      </c>
      <c r="G26" s="105" t="s">
        <v>63</v>
      </c>
      <c r="H26" s="105" t="s">
        <v>64</v>
      </c>
      <c r="I26" s="105" t="s">
        <v>65</v>
      </c>
      <c r="J26" s="105" t="s">
        <v>66</v>
      </c>
      <c r="K26" s="126" t="s">
        <v>67</v>
      </c>
    </row>
    <row r="27" spans="1:11" ht="12">
      <c r="A27" s="318"/>
      <c r="B27" s="319"/>
      <c r="C27" s="320"/>
      <c r="D27" s="112"/>
      <c r="E27" s="112"/>
      <c r="F27" s="114"/>
      <c r="G27" s="112"/>
      <c r="H27" s="112"/>
      <c r="I27" s="107"/>
      <c r="J27" s="117"/>
      <c r="K27" s="113"/>
    </row>
    <row r="28" spans="1:11" ht="12">
      <c r="A28" s="307"/>
      <c r="B28" s="308"/>
      <c r="C28" s="309"/>
      <c r="D28" s="107"/>
      <c r="E28" s="107"/>
      <c r="F28" s="107"/>
      <c r="G28" s="107"/>
      <c r="H28" s="107"/>
      <c r="I28" s="107"/>
      <c r="J28" s="117"/>
      <c r="K28" s="128"/>
    </row>
    <row r="29" spans="1:11" ht="12">
      <c r="A29" s="307"/>
      <c r="B29" s="308"/>
      <c r="C29" s="309"/>
      <c r="D29" s="107"/>
      <c r="E29" s="107"/>
      <c r="F29" s="107"/>
      <c r="G29" s="107"/>
      <c r="H29" s="107"/>
      <c r="I29" s="107"/>
      <c r="J29" s="117"/>
      <c r="K29" s="128"/>
    </row>
    <row r="30" spans="1:11" ht="12">
      <c r="A30" s="307"/>
      <c r="B30" s="308"/>
      <c r="C30" s="309"/>
      <c r="D30" s="107"/>
      <c r="E30" s="107"/>
      <c r="F30" s="107"/>
      <c r="G30" s="107"/>
      <c r="H30" s="107"/>
      <c r="I30" s="107"/>
      <c r="J30" s="117"/>
      <c r="K30" s="128"/>
    </row>
    <row r="31" spans="1:11" ht="12">
      <c r="A31" s="108"/>
      <c r="B31" s="109"/>
      <c r="C31" s="109"/>
      <c r="D31" s="110"/>
      <c r="E31" s="109"/>
      <c r="F31" s="110"/>
      <c r="G31" s="110"/>
      <c r="H31" s="110"/>
      <c r="I31" s="110" t="s">
        <v>73</v>
      </c>
      <c r="J31" s="305">
        <f>SUM(K27:K30)</f>
        <v>0</v>
      </c>
      <c r="K31" s="305"/>
    </row>
    <row r="32" spans="1:11" ht="12">
      <c r="A32" s="108"/>
      <c r="B32" s="109"/>
      <c r="C32" s="109"/>
      <c r="D32" s="110"/>
      <c r="E32" s="109"/>
      <c r="F32" s="110"/>
      <c r="G32" s="110"/>
      <c r="H32" s="110"/>
      <c r="I32" s="110"/>
      <c r="J32" s="110"/>
      <c r="K32" s="127"/>
    </row>
    <row r="33" spans="1:11" ht="12">
      <c r="A33" s="311" t="s">
        <v>74</v>
      </c>
      <c r="B33" s="312"/>
      <c r="C33" s="312"/>
      <c r="D33" s="312"/>
      <c r="E33" s="312"/>
      <c r="F33" s="312"/>
      <c r="G33" s="312"/>
      <c r="H33" s="312"/>
      <c r="I33" s="313"/>
      <c r="J33" s="321">
        <f>J18+J24+J31</f>
        <v>1.742577</v>
      </c>
      <c r="K33" s="321"/>
    </row>
    <row r="34" spans="1:11" ht="12">
      <c r="A34" s="311" t="s">
        <v>75</v>
      </c>
      <c r="B34" s="312"/>
      <c r="C34" s="312"/>
      <c r="D34" s="312"/>
      <c r="E34" s="312"/>
      <c r="F34" s="312"/>
      <c r="G34" s="312"/>
      <c r="H34" s="312"/>
      <c r="I34" s="313"/>
      <c r="J34" s="305">
        <v>1</v>
      </c>
      <c r="K34" s="305"/>
    </row>
    <row r="35" spans="1:11" ht="12">
      <c r="A35" s="311" t="s">
        <v>76</v>
      </c>
      <c r="B35" s="312"/>
      <c r="C35" s="312"/>
      <c r="D35" s="312"/>
      <c r="E35" s="312"/>
      <c r="F35" s="312"/>
      <c r="G35" s="312"/>
      <c r="H35" s="312"/>
      <c r="I35" s="313"/>
      <c r="J35" s="305">
        <f>TRUNC(J33/J34,2)</f>
        <v>1.74</v>
      </c>
      <c r="K35" s="305"/>
    </row>
    <row r="36" spans="1:11" ht="12">
      <c r="A36" s="108"/>
      <c r="B36" s="109"/>
      <c r="C36" s="109"/>
      <c r="D36" s="110"/>
      <c r="E36" s="109"/>
      <c r="F36" s="110"/>
      <c r="G36" s="110"/>
      <c r="H36" s="110"/>
      <c r="I36" s="110"/>
      <c r="J36" s="110"/>
      <c r="K36" s="127"/>
    </row>
    <row r="37" spans="1:11" ht="24">
      <c r="A37" s="306" t="s">
        <v>77</v>
      </c>
      <c r="B37" s="306"/>
      <c r="C37" s="306"/>
      <c r="D37" s="105" t="s">
        <v>60</v>
      </c>
      <c r="E37" s="105" t="s">
        <v>61</v>
      </c>
      <c r="F37" s="105" t="s">
        <v>62</v>
      </c>
      <c r="G37" s="105" t="s">
        <v>63</v>
      </c>
      <c r="H37" s="105" t="s">
        <v>64</v>
      </c>
      <c r="I37" s="105" t="s">
        <v>65</v>
      </c>
      <c r="J37" s="105" t="s">
        <v>66</v>
      </c>
      <c r="K37" s="126" t="s">
        <v>67</v>
      </c>
    </row>
    <row r="38" spans="1:11" ht="12">
      <c r="A38" s="318"/>
      <c r="B38" s="319"/>
      <c r="C38" s="320"/>
      <c r="D38" s="112"/>
      <c r="E38" s="112"/>
      <c r="F38" s="115"/>
      <c r="G38" s="125"/>
      <c r="H38" s="125"/>
      <c r="I38" s="107"/>
      <c r="J38" s="118"/>
      <c r="K38" s="113">
        <f>J38*F38</f>
        <v>0</v>
      </c>
    </row>
    <row r="39" spans="1:11" ht="12">
      <c r="A39" s="315"/>
      <c r="B39" s="316"/>
      <c r="C39" s="317"/>
      <c r="D39" s="112"/>
      <c r="E39" s="112"/>
      <c r="F39" s="115"/>
      <c r="G39" s="125"/>
      <c r="H39" s="125"/>
      <c r="I39" s="107"/>
      <c r="J39" s="118"/>
      <c r="K39" s="113"/>
    </row>
    <row r="40" spans="1:11" ht="12">
      <c r="A40" s="315"/>
      <c r="B40" s="316"/>
      <c r="C40" s="317"/>
      <c r="D40" s="112"/>
      <c r="E40" s="112"/>
      <c r="F40" s="115"/>
      <c r="G40" s="125"/>
      <c r="H40" s="125"/>
      <c r="I40" s="107"/>
      <c r="J40" s="118"/>
      <c r="K40" s="113"/>
    </row>
    <row r="41" spans="1:11" ht="12">
      <c r="A41" s="108"/>
      <c r="B41" s="109"/>
      <c r="C41" s="109"/>
      <c r="D41" s="110"/>
      <c r="E41" s="109"/>
      <c r="F41" s="110"/>
      <c r="G41" s="110"/>
      <c r="H41" s="110"/>
      <c r="I41" s="110" t="s">
        <v>78</v>
      </c>
      <c r="J41" s="305">
        <f>SUM(K38:K40)</f>
        <v>0</v>
      </c>
      <c r="K41" s="305"/>
    </row>
    <row r="42" spans="1:11" ht="12">
      <c r="A42" s="108"/>
      <c r="B42" s="109"/>
      <c r="C42" s="109"/>
      <c r="D42" s="110"/>
      <c r="E42" s="109"/>
      <c r="F42" s="110"/>
      <c r="G42" s="110"/>
      <c r="H42" s="110"/>
      <c r="I42" s="110"/>
      <c r="J42" s="110"/>
      <c r="K42" s="127"/>
    </row>
    <row r="43" spans="1:11" ht="24">
      <c r="A43" s="306" t="s">
        <v>79</v>
      </c>
      <c r="B43" s="306"/>
      <c r="C43" s="306"/>
      <c r="D43" s="105" t="s">
        <v>60</v>
      </c>
      <c r="E43" s="105" t="s">
        <v>61</v>
      </c>
      <c r="F43" s="105" t="s">
        <v>62</v>
      </c>
      <c r="G43" s="105" t="s">
        <v>63</v>
      </c>
      <c r="H43" s="105" t="s">
        <v>64</v>
      </c>
      <c r="I43" s="105" t="s">
        <v>65</v>
      </c>
      <c r="J43" s="105" t="s">
        <v>66</v>
      </c>
      <c r="K43" s="126" t="s">
        <v>67</v>
      </c>
    </row>
    <row r="44" spans="1:11" ht="12">
      <c r="A44" s="315"/>
      <c r="B44" s="316"/>
      <c r="C44" s="317"/>
      <c r="D44" s="112"/>
      <c r="E44" s="112"/>
      <c r="F44" s="115"/>
      <c r="G44" s="125"/>
      <c r="H44" s="125"/>
      <c r="I44" s="107"/>
      <c r="J44" s="118"/>
      <c r="K44" s="113"/>
    </row>
    <row r="45" spans="1:11" ht="12">
      <c r="A45" s="315"/>
      <c r="B45" s="316"/>
      <c r="C45" s="317"/>
      <c r="D45" s="112"/>
      <c r="E45" s="112"/>
      <c r="F45" s="115"/>
      <c r="G45" s="125"/>
      <c r="H45" s="125"/>
      <c r="I45" s="107"/>
      <c r="J45" s="118"/>
      <c r="K45" s="113"/>
    </row>
    <row r="46" spans="1:11" ht="12">
      <c r="A46" s="315"/>
      <c r="B46" s="316"/>
      <c r="C46" s="317"/>
      <c r="D46" s="112"/>
      <c r="E46" s="112"/>
      <c r="F46" s="115"/>
      <c r="G46" s="125"/>
      <c r="H46" s="125"/>
      <c r="I46" s="107"/>
      <c r="J46" s="118"/>
      <c r="K46" s="113"/>
    </row>
    <row r="47" spans="1:11" ht="12">
      <c r="A47" s="315"/>
      <c r="B47" s="316"/>
      <c r="C47" s="317"/>
      <c r="D47" s="112"/>
      <c r="E47" s="112"/>
      <c r="F47" s="115"/>
      <c r="G47" s="125"/>
      <c r="H47" s="125"/>
      <c r="I47" s="107"/>
      <c r="J47" s="118"/>
      <c r="K47" s="113"/>
    </row>
    <row r="48" spans="1:11" ht="12">
      <c r="A48" s="108"/>
      <c r="B48" s="109"/>
      <c r="C48" s="109"/>
      <c r="D48" s="110"/>
      <c r="E48" s="109"/>
      <c r="F48" s="110"/>
      <c r="G48" s="110"/>
      <c r="H48" s="110"/>
      <c r="I48" s="110" t="s">
        <v>80</v>
      </c>
      <c r="J48" s="305">
        <f>SUM(K44:K47)</f>
        <v>0</v>
      </c>
      <c r="K48" s="305"/>
    </row>
    <row r="49" spans="1:11" ht="12">
      <c r="A49" s="108"/>
      <c r="B49" s="109"/>
      <c r="C49" s="109"/>
      <c r="D49" s="110"/>
      <c r="E49" s="109"/>
      <c r="F49" s="110"/>
      <c r="G49" s="110"/>
      <c r="H49" s="110"/>
      <c r="I49" s="110"/>
      <c r="J49" s="110"/>
      <c r="K49" s="127"/>
    </row>
    <row r="50" spans="1:11" ht="24">
      <c r="A50" s="306" t="s">
        <v>81</v>
      </c>
      <c r="B50" s="306"/>
      <c r="C50" s="306"/>
      <c r="D50" s="105" t="s">
        <v>60</v>
      </c>
      <c r="E50" s="105" t="s">
        <v>61</v>
      </c>
      <c r="F50" s="105" t="s">
        <v>4</v>
      </c>
      <c r="G50" s="105" t="s">
        <v>82</v>
      </c>
      <c r="H50" s="105" t="s">
        <v>83</v>
      </c>
      <c r="I50" s="105" t="s">
        <v>67</v>
      </c>
      <c r="J50" s="105" t="s">
        <v>84</v>
      </c>
      <c r="K50" s="126" t="s">
        <v>67</v>
      </c>
    </row>
    <row r="51" spans="1:11" ht="12">
      <c r="A51" s="307"/>
      <c r="B51" s="308"/>
      <c r="C51" s="309"/>
      <c r="D51" s="107"/>
      <c r="E51" s="107"/>
      <c r="F51" s="107"/>
      <c r="G51" s="107"/>
      <c r="H51" s="107"/>
      <c r="I51" s="107"/>
      <c r="J51" s="117"/>
      <c r="K51" s="128"/>
    </row>
    <row r="52" spans="1:11" ht="12">
      <c r="A52" s="108"/>
      <c r="B52" s="109"/>
      <c r="C52" s="109"/>
      <c r="D52" s="110"/>
      <c r="E52" s="109"/>
      <c r="F52" s="110"/>
      <c r="G52" s="110"/>
      <c r="H52" s="110"/>
      <c r="I52" s="110" t="s">
        <v>85</v>
      </c>
      <c r="J52" s="310"/>
      <c r="K52" s="310"/>
    </row>
    <row r="53" spans="1:11" ht="12">
      <c r="A53" s="108"/>
      <c r="B53" s="109"/>
      <c r="C53" s="109"/>
      <c r="D53" s="110"/>
      <c r="E53" s="109"/>
      <c r="F53" s="110"/>
      <c r="G53" s="110"/>
      <c r="H53" s="110"/>
      <c r="I53" s="110"/>
      <c r="J53" s="110"/>
      <c r="K53" s="127"/>
    </row>
    <row r="54" spans="1:11" ht="12">
      <c r="A54" s="311" t="s">
        <v>86</v>
      </c>
      <c r="B54" s="312"/>
      <c r="C54" s="312"/>
      <c r="D54" s="312"/>
      <c r="E54" s="312"/>
      <c r="F54" s="312"/>
      <c r="G54" s="312"/>
      <c r="H54" s="312"/>
      <c r="I54" s="313"/>
      <c r="J54" s="314">
        <f>TRUNC(J35+J41+J48+J52,2)</f>
        <v>1.74</v>
      </c>
      <c r="K54" s="314"/>
    </row>
    <row r="55" spans="1:11" ht="12">
      <c r="A55" s="311" t="s">
        <v>144</v>
      </c>
      <c r="B55" s="312"/>
      <c r="C55" s="312"/>
      <c r="D55" s="312"/>
      <c r="E55" s="312"/>
      <c r="F55" s="312"/>
      <c r="G55" s="312"/>
      <c r="H55" s="312"/>
      <c r="I55" s="313"/>
      <c r="J55" s="310">
        <f>TRUNC(J54*I12,2)</f>
        <v>0.52</v>
      </c>
      <c r="K55" s="310"/>
    </row>
    <row r="56" spans="1:11" ht="12">
      <c r="A56" s="311" t="s">
        <v>87</v>
      </c>
      <c r="B56" s="312"/>
      <c r="C56" s="312"/>
      <c r="D56" s="312"/>
      <c r="E56" s="312"/>
      <c r="F56" s="312"/>
      <c r="G56" s="312"/>
      <c r="H56" s="312"/>
      <c r="I56" s="313"/>
      <c r="J56" s="305">
        <f>J55+J54</f>
        <v>2.26</v>
      </c>
      <c r="K56" s="305"/>
    </row>
    <row r="60" spans="1:11" ht="12">
      <c r="A60" s="245" t="s">
        <v>179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</row>
    <row r="61" spans="1:11" ht="12">
      <c r="A61" s="245" t="s">
        <v>180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</row>
    <row r="62" spans="1:11" ht="12">
      <c r="A62" s="245" t="s">
        <v>181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</row>
  </sheetData>
  <sheetProtection/>
  <mergeCells count="50">
    <mergeCell ref="A60:K60"/>
    <mergeCell ref="A61:K61"/>
    <mergeCell ref="A62:K62"/>
    <mergeCell ref="A55:I55"/>
    <mergeCell ref="J55:K55"/>
    <mergeCell ref="A56:I56"/>
    <mergeCell ref="J56:K56"/>
    <mergeCell ref="J48:K48"/>
    <mergeCell ref="A50:C50"/>
    <mergeCell ref="A51:C51"/>
    <mergeCell ref="J52:K52"/>
    <mergeCell ref="A54:I54"/>
    <mergeCell ref="J54:K54"/>
    <mergeCell ref="J41:K41"/>
    <mergeCell ref="A43:C43"/>
    <mergeCell ref="A44:C44"/>
    <mergeCell ref="A45:C45"/>
    <mergeCell ref="A46:C46"/>
    <mergeCell ref="A47:C47"/>
    <mergeCell ref="A35:I35"/>
    <mergeCell ref="J35:K35"/>
    <mergeCell ref="A37:C37"/>
    <mergeCell ref="A38:C38"/>
    <mergeCell ref="A39:C39"/>
    <mergeCell ref="A40:C40"/>
    <mergeCell ref="A29:C29"/>
    <mergeCell ref="A30:C30"/>
    <mergeCell ref="J31:K31"/>
    <mergeCell ref="A33:I33"/>
    <mergeCell ref="J33:K33"/>
    <mergeCell ref="A34:I34"/>
    <mergeCell ref="J34:K34"/>
    <mergeCell ref="A22:C22"/>
    <mergeCell ref="A23:C23"/>
    <mergeCell ref="J24:K24"/>
    <mergeCell ref="A26:C26"/>
    <mergeCell ref="A27:C27"/>
    <mergeCell ref="A28:C28"/>
    <mergeCell ref="A15:C15"/>
    <mergeCell ref="A16:C16"/>
    <mergeCell ref="A17:C17"/>
    <mergeCell ref="J18:K18"/>
    <mergeCell ref="A20:C20"/>
    <mergeCell ref="A21:C21"/>
    <mergeCell ref="A11:K11"/>
    <mergeCell ref="D12:E12"/>
    <mergeCell ref="A13:A14"/>
    <mergeCell ref="B13:I14"/>
    <mergeCell ref="J13:J14"/>
    <mergeCell ref="K13:K14"/>
  </mergeCells>
  <printOptions/>
  <pageMargins left="0.984251968503937" right="0.3937007874015748" top="0.3937007874015748" bottom="0.7874015748031497" header="0" footer="0"/>
  <pageSetup horizontalDpi="600" verticalDpi="600" orientation="portrait" paperSize="9" scale="86" r:id="rId2"/>
  <headerFooter>
    <oddFooter>&amp;CPágina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1:K61"/>
  <sheetViews>
    <sheetView view="pageBreakPreview" zoomScaleSheetLayoutView="100" zoomScalePageLayoutView="0" workbookViewId="0" topLeftCell="A28">
      <selection activeCell="P55" sqref="P55"/>
    </sheetView>
  </sheetViews>
  <sheetFormatPr defaultColWidth="9.00390625" defaultRowHeight="13.5"/>
  <cols>
    <col min="1" max="1" width="11.375" style="100" customWidth="1"/>
    <col min="2" max="3" width="10.375" style="100" customWidth="1"/>
    <col min="4" max="4" width="4.25390625" style="116" bestFit="1" customWidth="1"/>
    <col min="5" max="5" width="8.25390625" style="100" customWidth="1"/>
    <col min="6" max="6" width="6.75390625" style="116" customWidth="1"/>
    <col min="7" max="8" width="8.25390625" style="116" customWidth="1"/>
    <col min="9" max="9" width="7.625" style="116" bestFit="1" customWidth="1"/>
    <col min="10" max="10" width="8.75390625" style="116" bestFit="1" customWidth="1"/>
    <col min="11" max="11" width="8.25390625" style="129" customWidth="1"/>
    <col min="12" max="16384" width="9.00390625" style="100" customWidth="1"/>
  </cols>
  <sheetData>
    <row r="2" ht="12"/>
    <row r="3" ht="12"/>
    <row r="4" ht="12"/>
    <row r="5" ht="12"/>
    <row r="6" ht="12"/>
    <row r="7" ht="12"/>
    <row r="8" ht="12"/>
    <row r="9" ht="12"/>
    <row r="11" spans="1:11" ht="15">
      <c r="A11" s="322" t="s">
        <v>184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</row>
    <row r="12" spans="1:11" s="104" customFormat="1" ht="12">
      <c r="A12" s="101" t="s">
        <v>9</v>
      </c>
      <c r="B12" s="102" t="s">
        <v>90</v>
      </c>
      <c r="C12" s="101" t="s">
        <v>54</v>
      </c>
      <c r="D12" s="323" t="s">
        <v>166</v>
      </c>
      <c r="E12" s="324"/>
      <c r="F12" s="121"/>
      <c r="G12" s="121"/>
      <c r="H12" s="122" t="s">
        <v>55</v>
      </c>
      <c r="I12" s="103">
        <f>BDI!C47</f>
        <v>0.303</v>
      </c>
      <c r="J12" s="122" t="s">
        <v>56</v>
      </c>
      <c r="K12" s="103">
        <v>0.8954</v>
      </c>
    </row>
    <row r="13" spans="1:11" ht="19.5" customHeight="1">
      <c r="A13" s="331" t="s">
        <v>57</v>
      </c>
      <c r="B13" s="327" t="s">
        <v>178</v>
      </c>
      <c r="C13" s="327"/>
      <c r="D13" s="327"/>
      <c r="E13" s="327"/>
      <c r="F13" s="327"/>
      <c r="G13" s="327"/>
      <c r="H13" s="327"/>
      <c r="I13" s="327"/>
      <c r="J13" s="331" t="s">
        <v>58</v>
      </c>
      <c r="K13" s="333" t="s">
        <v>132</v>
      </c>
    </row>
    <row r="14" spans="1:11" ht="19.5" customHeight="1">
      <c r="A14" s="332"/>
      <c r="B14" s="327"/>
      <c r="C14" s="327"/>
      <c r="D14" s="327"/>
      <c r="E14" s="327"/>
      <c r="F14" s="327"/>
      <c r="G14" s="327"/>
      <c r="H14" s="327"/>
      <c r="I14" s="327"/>
      <c r="J14" s="332"/>
      <c r="K14" s="333"/>
    </row>
    <row r="15" spans="1:11" s="106" customFormat="1" ht="24">
      <c r="A15" s="306" t="s">
        <v>59</v>
      </c>
      <c r="B15" s="306"/>
      <c r="C15" s="306"/>
      <c r="D15" s="105" t="s">
        <v>60</v>
      </c>
      <c r="E15" s="105" t="s">
        <v>61</v>
      </c>
      <c r="F15" s="105" t="s">
        <v>62</v>
      </c>
      <c r="G15" s="105" t="s">
        <v>63</v>
      </c>
      <c r="H15" s="105" t="s">
        <v>64</v>
      </c>
      <c r="I15" s="105" t="s">
        <v>65</v>
      </c>
      <c r="J15" s="105" t="s">
        <v>66</v>
      </c>
      <c r="K15" s="126" t="s">
        <v>67</v>
      </c>
    </row>
    <row r="16" spans="1:11" s="106" customFormat="1" ht="12">
      <c r="A16" s="315"/>
      <c r="B16" s="316"/>
      <c r="C16" s="317"/>
      <c r="D16" s="112"/>
      <c r="E16" s="112"/>
      <c r="F16" s="112"/>
      <c r="G16" s="112"/>
      <c r="H16" s="112"/>
      <c r="I16" s="112"/>
      <c r="J16" s="118"/>
      <c r="K16" s="113">
        <f>J16*F16</f>
        <v>0</v>
      </c>
    </row>
    <row r="17" spans="1:11" s="106" customFormat="1" ht="12">
      <c r="A17" s="315"/>
      <c r="B17" s="316"/>
      <c r="C17" s="317"/>
      <c r="D17" s="112"/>
      <c r="E17" s="112"/>
      <c r="F17" s="112"/>
      <c r="G17" s="112"/>
      <c r="H17" s="112"/>
      <c r="I17" s="112"/>
      <c r="J17" s="118"/>
      <c r="K17" s="113">
        <f>J17*F17</f>
        <v>0</v>
      </c>
    </row>
    <row r="18" spans="1:11" ht="12">
      <c r="A18" s="108"/>
      <c r="B18" s="109"/>
      <c r="C18" s="109"/>
      <c r="D18" s="110"/>
      <c r="E18" s="109"/>
      <c r="F18" s="110"/>
      <c r="G18" s="110"/>
      <c r="H18" s="110"/>
      <c r="I18" s="110" t="s">
        <v>68</v>
      </c>
      <c r="J18" s="305">
        <f>SUM(K16:K17)</f>
        <v>0</v>
      </c>
      <c r="K18" s="305"/>
    </row>
    <row r="19" spans="1:11" ht="12">
      <c r="A19" s="108"/>
      <c r="B19" s="109"/>
      <c r="C19" s="109"/>
      <c r="D19" s="110"/>
      <c r="E19" s="109"/>
      <c r="F19" s="110"/>
      <c r="G19" s="110"/>
      <c r="H19" s="110"/>
      <c r="I19" s="110"/>
      <c r="J19" s="110"/>
      <c r="K19" s="127"/>
    </row>
    <row r="20" spans="1:11" ht="24">
      <c r="A20" s="306" t="s">
        <v>69</v>
      </c>
      <c r="B20" s="306"/>
      <c r="C20" s="306"/>
      <c r="D20" s="105" t="s">
        <v>60</v>
      </c>
      <c r="E20" s="105" t="s">
        <v>61</v>
      </c>
      <c r="F20" s="105" t="s">
        <v>62</v>
      </c>
      <c r="G20" s="105" t="s">
        <v>63</v>
      </c>
      <c r="H20" s="105" t="s">
        <v>64</v>
      </c>
      <c r="I20" s="105" t="s">
        <v>65</v>
      </c>
      <c r="J20" s="105" t="s">
        <v>66</v>
      </c>
      <c r="K20" s="126" t="s">
        <v>67</v>
      </c>
    </row>
    <row r="21" spans="1:11" s="106" customFormat="1" ht="12">
      <c r="A21" s="318" t="s">
        <v>167</v>
      </c>
      <c r="B21" s="319"/>
      <c r="C21" s="320"/>
      <c r="D21" s="111" t="s">
        <v>70</v>
      </c>
      <c r="E21" s="112">
        <v>88316</v>
      </c>
      <c r="F21" s="123">
        <v>0.6</v>
      </c>
      <c r="G21" s="123"/>
      <c r="H21" s="123"/>
      <c r="I21" s="124"/>
      <c r="J21" s="118">
        <v>13.61</v>
      </c>
      <c r="K21" s="113">
        <f>J21*F21</f>
        <v>8.165999999999999</v>
      </c>
    </row>
    <row r="22" spans="1:11" s="106" customFormat="1" ht="12">
      <c r="A22" s="318" t="s">
        <v>172</v>
      </c>
      <c r="B22" s="319"/>
      <c r="C22" s="320"/>
      <c r="D22" s="112" t="s">
        <v>70</v>
      </c>
      <c r="E22" s="112">
        <v>88262</v>
      </c>
      <c r="F22" s="123">
        <v>0.4</v>
      </c>
      <c r="G22" s="112"/>
      <c r="H22" s="112"/>
      <c r="I22" s="107"/>
      <c r="J22" s="118">
        <v>19.01</v>
      </c>
      <c r="K22" s="113">
        <f>J22*F22</f>
        <v>7.604000000000001</v>
      </c>
    </row>
    <row r="23" spans="1:11" s="106" customFormat="1" ht="12">
      <c r="A23" s="307"/>
      <c r="B23" s="308"/>
      <c r="C23" s="309"/>
      <c r="D23" s="112"/>
      <c r="E23" s="112"/>
      <c r="F23" s="112"/>
      <c r="G23" s="112"/>
      <c r="H23" s="112"/>
      <c r="I23" s="107"/>
      <c r="J23" s="117"/>
      <c r="K23" s="113"/>
    </row>
    <row r="24" spans="1:11" ht="12">
      <c r="A24" s="108"/>
      <c r="B24" s="109"/>
      <c r="C24" s="109"/>
      <c r="D24" s="110"/>
      <c r="E24" s="109"/>
      <c r="F24" s="110"/>
      <c r="G24" s="110"/>
      <c r="H24" s="110"/>
      <c r="I24" s="110" t="s">
        <v>71</v>
      </c>
      <c r="J24" s="305">
        <f>SUM(K21:K23)</f>
        <v>15.77</v>
      </c>
      <c r="K24" s="305"/>
    </row>
    <row r="25" spans="1:11" ht="12">
      <c r="A25" s="108"/>
      <c r="B25" s="109"/>
      <c r="C25" s="109"/>
      <c r="D25" s="110"/>
      <c r="E25" s="109"/>
      <c r="F25" s="110"/>
      <c r="G25" s="110"/>
      <c r="H25" s="110"/>
      <c r="I25" s="110"/>
      <c r="J25" s="110"/>
      <c r="K25" s="127"/>
    </row>
    <row r="26" spans="1:11" ht="24">
      <c r="A26" s="306" t="s">
        <v>72</v>
      </c>
      <c r="B26" s="306"/>
      <c r="C26" s="306"/>
      <c r="D26" s="105" t="s">
        <v>60</v>
      </c>
      <c r="E26" s="105" t="s">
        <v>61</v>
      </c>
      <c r="F26" s="105" t="s">
        <v>62</v>
      </c>
      <c r="G26" s="105" t="s">
        <v>63</v>
      </c>
      <c r="H26" s="105" t="s">
        <v>64</v>
      </c>
      <c r="I26" s="105" t="s">
        <v>65</v>
      </c>
      <c r="J26" s="105" t="s">
        <v>66</v>
      </c>
      <c r="K26" s="126" t="s">
        <v>67</v>
      </c>
    </row>
    <row r="27" spans="1:11" ht="12">
      <c r="A27" s="307"/>
      <c r="B27" s="308"/>
      <c r="C27" s="309"/>
      <c r="D27" s="107"/>
      <c r="E27" s="107"/>
      <c r="F27" s="107"/>
      <c r="G27" s="107"/>
      <c r="H27" s="107"/>
      <c r="I27" s="107"/>
      <c r="J27" s="117"/>
      <c r="K27" s="128"/>
    </row>
    <row r="28" spans="1:11" ht="12">
      <c r="A28" s="307"/>
      <c r="B28" s="308"/>
      <c r="C28" s="309"/>
      <c r="D28" s="107"/>
      <c r="E28" s="107"/>
      <c r="F28" s="107"/>
      <c r="G28" s="107"/>
      <c r="H28" s="107"/>
      <c r="I28" s="107"/>
      <c r="J28" s="117"/>
      <c r="K28" s="128"/>
    </row>
    <row r="29" spans="1:11" ht="12">
      <c r="A29" s="108"/>
      <c r="B29" s="109"/>
      <c r="C29" s="109"/>
      <c r="D29" s="110"/>
      <c r="E29" s="109"/>
      <c r="F29" s="110"/>
      <c r="G29" s="110"/>
      <c r="H29" s="110"/>
      <c r="I29" s="110" t="s">
        <v>73</v>
      </c>
      <c r="J29" s="305">
        <f>SUM(K27:K28)</f>
        <v>0</v>
      </c>
      <c r="K29" s="305"/>
    </row>
    <row r="30" spans="1:11" ht="12">
      <c r="A30" s="108"/>
      <c r="B30" s="109"/>
      <c r="C30" s="109"/>
      <c r="D30" s="110"/>
      <c r="E30" s="109"/>
      <c r="F30" s="110"/>
      <c r="G30" s="110"/>
      <c r="H30" s="110"/>
      <c r="I30" s="110"/>
      <c r="J30" s="110"/>
      <c r="K30" s="127"/>
    </row>
    <row r="31" spans="1:11" ht="12">
      <c r="A31" s="311" t="s">
        <v>74</v>
      </c>
      <c r="B31" s="312"/>
      <c r="C31" s="312"/>
      <c r="D31" s="312"/>
      <c r="E31" s="312"/>
      <c r="F31" s="312"/>
      <c r="G31" s="312"/>
      <c r="H31" s="312"/>
      <c r="I31" s="313"/>
      <c r="J31" s="321">
        <f>J18+J24+J29</f>
        <v>15.77</v>
      </c>
      <c r="K31" s="321"/>
    </row>
    <row r="32" spans="1:11" ht="12">
      <c r="A32" s="311" t="s">
        <v>75</v>
      </c>
      <c r="B32" s="312"/>
      <c r="C32" s="312"/>
      <c r="D32" s="312"/>
      <c r="E32" s="312"/>
      <c r="F32" s="312"/>
      <c r="G32" s="312"/>
      <c r="H32" s="312"/>
      <c r="I32" s="313"/>
      <c r="J32" s="305">
        <v>1</v>
      </c>
      <c r="K32" s="305"/>
    </row>
    <row r="33" spans="1:11" ht="12">
      <c r="A33" s="311" t="s">
        <v>76</v>
      </c>
      <c r="B33" s="312"/>
      <c r="C33" s="312"/>
      <c r="D33" s="312"/>
      <c r="E33" s="312"/>
      <c r="F33" s="312"/>
      <c r="G33" s="312"/>
      <c r="H33" s="312"/>
      <c r="I33" s="313"/>
      <c r="J33" s="305">
        <f>TRUNC(J31/J32,2)</f>
        <v>15.77</v>
      </c>
      <c r="K33" s="305"/>
    </row>
    <row r="34" spans="1:11" ht="12">
      <c r="A34" s="108"/>
      <c r="B34" s="109"/>
      <c r="C34" s="109"/>
      <c r="D34" s="110"/>
      <c r="E34" s="109"/>
      <c r="F34" s="110"/>
      <c r="G34" s="110"/>
      <c r="H34" s="110"/>
      <c r="I34" s="110"/>
      <c r="J34" s="110"/>
      <c r="K34" s="127"/>
    </row>
    <row r="35" spans="1:11" ht="24">
      <c r="A35" s="306" t="s">
        <v>77</v>
      </c>
      <c r="B35" s="306"/>
      <c r="C35" s="306"/>
      <c r="D35" s="105" t="s">
        <v>60</v>
      </c>
      <c r="E35" s="105" t="s">
        <v>61</v>
      </c>
      <c r="F35" s="105" t="s">
        <v>62</v>
      </c>
      <c r="G35" s="105" t="s">
        <v>63</v>
      </c>
      <c r="H35" s="105" t="s">
        <v>64</v>
      </c>
      <c r="I35" s="105" t="s">
        <v>65</v>
      </c>
      <c r="J35" s="105" t="s">
        <v>66</v>
      </c>
      <c r="K35" s="126" t="s">
        <v>67</v>
      </c>
    </row>
    <row r="36" spans="1:11" ht="37.5" customHeight="1">
      <c r="A36" s="315" t="s">
        <v>173</v>
      </c>
      <c r="B36" s="316"/>
      <c r="C36" s="317"/>
      <c r="D36" s="112" t="s">
        <v>132</v>
      </c>
      <c r="E36" s="112">
        <v>339</v>
      </c>
      <c r="F36" s="115">
        <v>4.4</v>
      </c>
      <c r="G36" s="125"/>
      <c r="H36" s="125"/>
      <c r="I36" s="107"/>
      <c r="J36" s="118">
        <v>0.53</v>
      </c>
      <c r="K36" s="113">
        <f>J36*F36</f>
        <v>2.3320000000000003</v>
      </c>
    </row>
    <row r="37" spans="1:11" ht="37.5" customHeight="1">
      <c r="A37" s="315" t="s">
        <v>174</v>
      </c>
      <c r="B37" s="316"/>
      <c r="C37" s="317"/>
      <c r="D37" s="112" t="s">
        <v>175</v>
      </c>
      <c r="E37" s="112">
        <v>5076</v>
      </c>
      <c r="F37" s="115">
        <v>0.025</v>
      </c>
      <c r="G37" s="125"/>
      <c r="H37" s="125"/>
      <c r="I37" s="107"/>
      <c r="J37" s="118">
        <v>10.64</v>
      </c>
      <c r="K37" s="113">
        <f>J37*F37</f>
        <v>0.266</v>
      </c>
    </row>
    <row r="38" spans="1:11" ht="37.5" customHeight="1">
      <c r="A38" s="315" t="s">
        <v>177</v>
      </c>
      <c r="B38" s="316"/>
      <c r="C38" s="317"/>
      <c r="D38" s="112" t="s">
        <v>132</v>
      </c>
      <c r="E38" s="112">
        <v>21138</v>
      </c>
      <c r="F38" s="115">
        <v>0.75</v>
      </c>
      <c r="G38" s="125"/>
      <c r="H38" s="125"/>
      <c r="I38" s="107"/>
      <c r="J38" s="118">
        <v>5.45</v>
      </c>
      <c r="K38" s="113">
        <f>J38*F38</f>
        <v>4.0875</v>
      </c>
    </row>
    <row r="39" spans="1:11" ht="37.5" customHeight="1">
      <c r="A39" s="315" t="s">
        <v>176</v>
      </c>
      <c r="B39" s="316"/>
      <c r="C39" s="317"/>
      <c r="D39" s="112" t="s">
        <v>132</v>
      </c>
      <c r="E39" s="112">
        <v>2747</v>
      </c>
      <c r="F39" s="115">
        <v>0.075</v>
      </c>
      <c r="G39" s="125"/>
      <c r="H39" s="125"/>
      <c r="I39" s="107"/>
      <c r="J39" s="118">
        <v>13.47</v>
      </c>
      <c r="K39" s="113">
        <f>J39*F39</f>
        <v>1.01025</v>
      </c>
    </row>
    <row r="40" spans="1:11" ht="12">
      <c r="A40" s="108"/>
      <c r="B40" s="109"/>
      <c r="C40" s="109"/>
      <c r="D40" s="110"/>
      <c r="E40" s="109"/>
      <c r="F40" s="110"/>
      <c r="G40" s="110"/>
      <c r="H40" s="110"/>
      <c r="I40" s="110" t="s">
        <v>78</v>
      </c>
      <c r="J40" s="305">
        <f>SUM(K36:K39)</f>
        <v>7.695750000000001</v>
      </c>
      <c r="K40" s="305"/>
    </row>
    <row r="41" spans="1:11" ht="12">
      <c r="A41" s="108"/>
      <c r="B41" s="109"/>
      <c r="C41" s="109"/>
      <c r="D41" s="110"/>
      <c r="E41" s="109"/>
      <c r="F41" s="110"/>
      <c r="G41" s="110"/>
      <c r="H41" s="110"/>
      <c r="I41" s="110"/>
      <c r="J41" s="110"/>
      <c r="K41" s="127"/>
    </row>
    <row r="42" spans="1:11" ht="24">
      <c r="A42" s="306" t="s">
        <v>79</v>
      </c>
      <c r="B42" s="306"/>
      <c r="C42" s="306"/>
      <c r="D42" s="105" t="s">
        <v>60</v>
      </c>
      <c r="E42" s="105" t="s">
        <v>61</v>
      </c>
      <c r="F42" s="105" t="s">
        <v>62</v>
      </c>
      <c r="G42" s="105" t="s">
        <v>63</v>
      </c>
      <c r="H42" s="105" t="s">
        <v>64</v>
      </c>
      <c r="I42" s="105" t="s">
        <v>65</v>
      </c>
      <c r="J42" s="105" t="s">
        <v>66</v>
      </c>
      <c r="K42" s="126" t="s">
        <v>67</v>
      </c>
    </row>
    <row r="43" spans="1:11" ht="12">
      <c r="A43" s="315"/>
      <c r="B43" s="316"/>
      <c r="C43" s="317"/>
      <c r="D43" s="112"/>
      <c r="E43" s="112"/>
      <c r="F43" s="115"/>
      <c r="G43" s="125"/>
      <c r="H43" s="125"/>
      <c r="I43" s="107"/>
      <c r="J43" s="118"/>
      <c r="K43" s="113"/>
    </row>
    <row r="44" spans="1:11" ht="12">
      <c r="A44" s="315"/>
      <c r="B44" s="316"/>
      <c r="C44" s="317"/>
      <c r="D44" s="112"/>
      <c r="E44" s="112"/>
      <c r="F44" s="115"/>
      <c r="G44" s="125"/>
      <c r="H44" s="125"/>
      <c r="I44" s="107"/>
      <c r="J44" s="118"/>
      <c r="K44" s="113"/>
    </row>
    <row r="45" spans="1:11" ht="12">
      <c r="A45" s="315"/>
      <c r="B45" s="316"/>
      <c r="C45" s="317"/>
      <c r="D45" s="112"/>
      <c r="E45" s="112"/>
      <c r="F45" s="115"/>
      <c r="G45" s="125"/>
      <c r="H45" s="125"/>
      <c r="I45" s="107"/>
      <c r="J45" s="118"/>
      <c r="K45" s="113"/>
    </row>
    <row r="46" spans="1:11" ht="12">
      <c r="A46" s="315"/>
      <c r="B46" s="316"/>
      <c r="C46" s="317"/>
      <c r="D46" s="112"/>
      <c r="E46" s="112"/>
      <c r="F46" s="115"/>
      <c r="G46" s="125"/>
      <c r="H46" s="125"/>
      <c r="I46" s="107"/>
      <c r="J46" s="118"/>
      <c r="K46" s="113"/>
    </row>
    <row r="47" spans="1:11" ht="12">
      <c r="A47" s="108"/>
      <c r="B47" s="109"/>
      <c r="C47" s="109"/>
      <c r="D47" s="110"/>
      <c r="E47" s="109"/>
      <c r="F47" s="110"/>
      <c r="G47" s="110"/>
      <c r="H47" s="110"/>
      <c r="I47" s="110" t="s">
        <v>80</v>
      </c>
      <c r="J47" s="305">
        <f>SUM(K43:K46)</f>
        <v>0</v>
      </c>
      <c r="K47" s="305"/>
    </row>
    <row r="48" spans="1:11" ht="12">
      <c r="A48" s="108"/>
      <c r="B48" s="109"/>
      <c r="C48" s="109"/>
      <c r="D48" s="110"/>
      <c r="E48" s="109"/>
      <c r="F48" s="110"/>
      <c r="G48" s="110"/>
      <c r="H48" s="110"/>
      <c r="I48" s="110"/>
      <c r="J48" s="110"/>
      <c r="K48" s="127"/>
    </row>
    <row r="49" spans="1:11" ht="24">
      <c r="A49" s="306" t="s">
        <v>81</v>
      </c>
      <c r="B49" s="306"/>
      <c r="C49" s="306"/>
      <c r="D49" s="105" t="s">
        <v>60</v>
      </c>
      <c r="E49" s="105" t="s">
        <v>61</v>
      </c>
      <c r="F49" s="105" t="s">
        <v>4</v>
      </c>
      <c r="G49" s="105" t="s">
        <v>82</v>
      </c>
      <c r="H49" s="105" t="s">
        <v>83</v>
      </c>
      <c r="I49" s="105" t="s">
        <v>67</v>
      </c>
      <c r="J49" s="105" t="s">
        <v>84</v>
      </c>
      <c r="K49" s="126" t="s">
        <v>67</v>
      </c>
    </row>
    <row r="50" spans="1:11" ht="12">
      <c r="A50" s="307"/>
      <c r="B50" s="308"/>
      <c r="C50" s="309"/>
      <c r="D50" s="107"/>
      <c r="E50" s="107"/>
      <c r="F50" s="107"/>
      <c r="G50" s="107"/>
      <c r="H50" s="107"/>
      <c r="I50" s="107"/>
      <c r="J50" s="117"/>
      <c r="K50" s="128"/>
    </row>
    <row r="51" spans="1:11" ht="12">
      <c r="A51" s="108"/>
      <c r="B51" s="109"/>
      <c r="C51" s="109"/>
      <c r="D51" s="110"/>
      <c r="E51" s="109"/>
      <c r="F51" s="110"/>
      <c r="G51" s="110"/>
      <c r="H51" s="110"/>
      <c r="I51" s="110" t="s">
        <v>85</v>
      </c>
      <c r="J51" s="310"/>
      <c r="K51" s="310"/>
    </row>
    <row r="52" spans="1:11" ht="12">
      <c r="A52" s="108"/>
      <c r="B52" s="109"/>
      <c r="C52" s="109"/>
      <c r="D52" s="110"/>
      <c r="E52" s="109"/>
      <c r="F52" s="110"/>
      <c r="G52" s="110"/>
      <c r="H52" s="110"/>
      <c r="I52" s="110"/>
      <c r="J52" s="110"/>
      <c r="K52" s="127"/>
    </row>
    <row r="53" spans="1:11" ht="12">
      <c r="A53" s="311" t="s">
        <v>86</v>
      </c>
      <c r="B53" s="312"/>
      <c r="C53" s="312"/>
      <c r="D53" s="312"/>
      <c r="E53" s="312"/>
      <c r="F53" s="312"/>
      <c r="G53" s="312"/>
      <c r="H53" s="312"/>
      <c r="I53" s="313"/>
      <c r="J53" s="314">
        <f>TRUNC(J33+J40+J47+J51,2)</f>
        <v>23.46</v>
      </c>
      <c r="K53" s="314"/>
    </row>
    <row r="54" spans="1:11" ht="12">
      <c r="A54" s="311" t="s">
        <v>144</v>
      </c>
      <c r="B54" s="312"/>
      <c r="C54" s="312"/>
      <c r="D54" s="312"/>
      <c r="E54" s="312"/>
      <c r="F54" s="312"/>
      <c r="G54" s="312"/>
      <c r="H54" s="312"/>
      <c r="I54" s="313"/>
      <c r="J54" s="310">
        <f>TRUNC(J53*I12,2)</f>
        <v>7.1</v>
      </c>
      <c r="K54" s="310"/>
    </row>
    <row r="55" spans="1:11" ht="12">
      <c r="A55" s="311" t="s">
        <v>87</v>
      </c>
      <c r="B55" s="312"/>
      <c r="C55" s="312"/>
      <c r="D55" s="312"/>
      <c r="E55" s="312"/>
      <c r="F55" s="312"/>
      <c r="G55" s="312"/>
      <c r="H55" s="312"/>
      <c r="I55" s="313"/>
      <c r="J55" s="305">
        <f>J54+J53</f>
        <v>30.560000000000002</v>
      </c>
      <c r="K55" s="305"/>
    </row>
    <row r="59" spans="1:11" ht="12">
      <c r="A59" s="245" t="s">
        <v>179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</row>
    <row r="60" spans="1:11" ht="12">
      <c r="A60" s="245" t="s">
        <v>180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</row>
    <row r="61" spans="1:11" ht="12">
      <c r="A61" s="245" t="s">
        <v>181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</row>
  </sheetData>
  <sheetProtection/>
  <mergeCells count="49">
    <mergeCell ref="A59:K59"/>
    <mergeCell ref="A60:K60"/>
    <mergeCell ref="A61:K61"/>
    <mergeCell ref="A21:C21"/>
    <mergeCell ref="A11:K11"/>
    <mergeCell ref="D12:E12"/>
    <mergeCell ref="A13:A14"/>
    <mergeCell ref="B13:I14"/>
    <mergeCell ref="J13:J14"/>
    <mergeCell ref="K13:K14"/>
    <mergeCell ref="J32:K32"/>
    <mergeCell ref="A22:C22"/>
    <mergeCell ref="A23:C23"/>
    <mergeCell ref="J24:K24"/>
    <mergeCell ref="A26:C26"/>
    <mergeCell ref="A15:C15"/>
    <mergeCell ref="A16:C16"/>
    <mergeCell ref="A17:C17"/>
    <mergeCell ref="J18:K18"/>
    <mergeCell ref="A20:C20"/>
    <mergeCell ref="A33:I33"/>
    <mergeCell ref="J33:K33"/>
    <mergeCell ref="A35:C35"/>
    <mergeCell ref="A36:C36"/>
    <mergeCell ref="A27:C27"/>
    <mergeCell ref="A28:C28"/>
    <mergeCell ref="J29:K29"/>
    <mergeCell ref="A31:I31"/>
    <mergeCell ref="J31:K31"/>
    <mergeCell ref="A32:I32"/>
    <mergeCell ref="J51:K51"/>
    <mergeCell ref="A53:I53"/>
    <mergeCell ref="J53:K53"/>
    <mergeCell ref="J40:K40"/>
    <mergeCell ref="A42:C42"/>
    <mergeCell ref="A43:C43"/>
    <mergeCell ref="A44:C44"/>
    <mergeCell ref="A45:C45"/>
    <mergeCell ref="A46:C46"/>
    <mergeCell ref="A54:I54"/>
    <mergeCell ref="J54:K54"/>
    <mergeCell ref="A55:I55"/>
    <mergeCell ref="J55:K55"/>
    <mergeCell ref="A37:C37"/>
    <mergeCell ref="A38:C38"/>
    <mergeCell ref="A39:C39"/>
    <mergeCell ref="J47:K47"/>
    <mergeCell ref="A49:C49"/>
    <mergeCell ref="A50:C50"/>
  </mergeCells>
  <printOptions/>
  <pageMargins left="0.984251968503937" right="0.3937007874015748" top="0.3937007874015748" bottom="0.7874015748031497" header="0" footer="0"/>
  <pageSetup horizontalDpi="600" verticalDpi="600" orientation="portrait" paperSize="9" scale="86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SEMO</dc:creator>
  <cp:keywords/>
  <dc:description/>
  <cp:lastModifiedBy>Usuario</cp:lastModifiedBy>
  <cp:lastPrinted>2019-03-25T16:34:33Z</cp:lastPrinted>
  <dcterms:created xsi:type="dcterms:W3CDTF">2018-03-06T17:14:23Z</dcterms:created>
  <dcterms:modified xsi:type="dcterms:W3CDTF">2020-04-07T00:03:02Z</dcterms:modified>
  <cp:category/>
  <cp:version/>
  <cp:contentType/>
  <cp:contentStatus/>
</cp:coreProperties>
</file>